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8445" activeTab="2"/>
  </bookViews>
  <sheets>
    <sheet name="Calculus Ubat" sheetId="1" r:id="rId1"/>
    <sheet name="calculus Urt2005" sheetId="2" r:id="rId2"/>
    <sheet name="calculus Q" sheetId="3" r:id="rId3"/>
    <sheet name="Warming and cooling" sheetId="4" r:id="rId4"/>
  </sheets>
  <calcPr calcId="125725"/>
</workbook>
</file>

<file path=xl/calcChain.xml><?xml version="1.0" encoding="utf-8"?>
<calcChain xmlns="http://schemas.openxmlformats.org/spreadsheetml/2006/main">
  <c r="C40" i="3"/>
  <c r="C39"/>
  <c r="C38"/>
  <c r="C37"/>
  <c r="C36"/>
  <c r="C35"/>
  <c r="C34"/>
  <c r="C33"/>
  <c r="C32"/>
  <c r="C31"/>
  <c r="C30"/>
  <c r="C29"/>
  <c r="N18" i="4"/>
  <c r="K30" i="1"/>
  <c r="K29"/>
  <c r="K27"/>
  <c r="G23"/>
  <c r="F24"/>
  <c r="N3" i="4"/>
  <c r="N4"/>
  <c r="N5"/>
  <c r="N6"/>
  <c r="N7"/>
  <c r="N8"/>
  <c r="N9"/>
  <c r="N10"/>
  <c r="N11"/>
  <c r="N12"/>
  <c r="N13"/>
  <c r="N2"/>
  <c r="J3"/>
  <c r="J4"/>
  <c r="J5"/>
  <c r="J6"/>
  <c r="J7"/>
  <c r="J8"/>
  <c r="J9"/>
  <c r="J10"/>
  <c r="J11"/>
  <c r="J12"/>
  <c r="J13"/>
  <c r="J2"/>
  <c r="D109" i="3"/>
  <c r="D110"/>
  <c r="D111"/>
  <c r="D112"/>
  <c r="D113"/>
  <c r="D114"/>
  <c r="D115"/>
  <c r="D116"/>
  <c r="D117"/>
  <c r="D118"/>
  <c r="D119"/>
  <c r="D108"/>
  <c r="G104"/>
  <c r="K75"/>
  <c r="N31" i="1"/>
  <c r="K74" i="3" s="1"/>
  <c r="D55"/>
  <c r="D56"/>
  <c r="D57"/>
  <c r="D58"/>
  <c r="D59"/>
  <c r="D60"/>
  <c r="D61"/>
  <c r="D62"/>
  <c r="D63"/>
  <c r="D64"/>
  <c r="D65"/>
  <c r="D54"/>
  <c r="H59" s="1"/>
  <c r="J22"/>
  <c r="D22"/>
  <c r="J16"/>
  <c r="D16"/>
  <c r="G29"/>
  <c r="G30"/>
  <c r="G31"/>
  <c r="G32"/>
  <c r="G33"/>
  <c r="G34"/>
  <c r="G35"/>
  <c r="G36"/>
  <c r="G37"/>
  <c r="G38"/>
  <c r="G39"/>
  <c r="G40"/>
  <c r="L28" i="1"/>
  <c r="D19" i="2"/>
  <c r="B33" i="1"/>
  <c r="N27"/>
  <c r="N28"/>
  <c r="L30"/>
  <c r="L29"/>
  <c r="L27"/>
  <c r="B30"/>
  <c r="B29"/>
  <c r="B31" s="1"/>
  <c r="B28"/>
  <c r="U134" i="3"/>
  <c r="U135"/>
  <c r="U136"/>
  <c r="U137"/>
  <c r="U138"/>
  <c r="U139"/>
  <c r="U140"/>
  <c r="U141"/>
  <c r="U142"/>
  <c r="U143"/>
  <c r="U144"/>
  <c r="U133"/>
  <c r="AC144"/>
  <c r="AC143"/>
  <c r="AC142"/>
  <c r="AC141"/>
  <c r="AC140"/>
  <c r="AC139"/>
  <c r="AC138"/>
  <c r="AC137"/>
  <c r="AC136"/>
  <c r="AC135"/>
  <c r="AC134"/>
  <c r="V134"/>
  <c r="AC133"/>
  <c r="X133"/>
  <c r="W133" s="1"/>
  <c r="N19" i="4" l="1"/>
  <c r="K73" i="3"/>
  <c r="G9" i="4" s="1"/>
  <c r="X134" i="3"/>
  <c r="W134" s="1"/>
  <c r="V135"/>
  <c r="D81"/>
  <c r="D82"/>
  <c r="D83"/>
  <c r="D84"/>
  <c r="D85"/>
  <c r="D86"/>
  <c r="D87"/>
  <c r="D88"/>
  <c r="D89"/>
  <c r="D90"/>
  <c r="D91"/>
  <c r="D80"/>
  <c r="N20" i="4" l="1"/>
  <c r="E80" i="3"/>
  <c r="K2" i="4" s="1"/>
  <c r="E90" i="3"/>
  <c r="K12" i="4" s="1"/>
  <c r="E88" i="3"/>
  <c r="K10" i="4" s="1"/>
  <c r="E86" i="3"/>
  <c r="F114" s="1"/>
  <c r="E84"/>
  <c r="K6" i="4" s="1"/>
  <c r="E82" i="3"/>
  <c r="F110" s="1"/>
  <c r="E91"/>
  <c r="F119" s="1"/>
  <c r="F116"/>
  <c r="F118"/>
  <c r="K8" i="4"/>
  <c r="F112" i="3"/>
  <c r="H82"/>
  <c r="H83" s="1"/>
  <c r="F108"/>
  <c r="E83"/>
  <c r="G103"/>
  <c r="G102"/>
  <c r="E89"/>
  <c r="E85"/>
  <c r="E81"/>
  <c r="E87"/>
  <c r="V136"/>
  <c r="X135"/>
  <c r="W135" s="1"/>
  <c r="D29"/>
  <c r="H29" s="1"/>
  <c r="F40"/>
  <c r="J40" s="1"/>
  <c r="F39"/>
  <c r="J39" s="1"/>
  <c r="F38"/>
  <c r="J38" s="1"/>
  <c r="F37"/>
  <c r="J37" s="1"/>
  <c r="F36"/>
  <c r="J36" s="1"/>
  <c r="F35"/>
  <c r="J35" s="1"/>
  <c r="F34"/>
  <c r="J34" s="1"/>
  <c r="F33"/>
  <c r="J33" s="1"/>
  <c r="F32"/>
  <c r="J32" s="1"/>
  <c r="F31"/>
  <c r="J31" s="1"/>
  <c r="D30"/>
  <c r="H30" s="1"/>
  <c r="F29"/>
  <c r="J29" s="1"/>
  <c r="D20" i="2"/>
  <c r="D21"/>
  <c r="D22"/>
  <c r="D23"/>
  <c r="D24"/>
  <c r="D25"/>
  <c r="D26"/>
  <c r="D27"/>
  <c r="D28"/>
  <c r="B29"/>
  <c r="N29" i="1"/>
  <c r="N30"/>
  <c r="C20"/>
  <c r="E20" s="1"/>
  <c r="C21"/>
  <c r="E21" s="1"/>
  <c r="C22"/>
  <c r="E22" s="1"/>
  <c r="C19"/>
  <c r="K13" i="4" l="1"/>
  <c r="K4"/>
  <c r="N21"/>
  <c r="F109" i="3"/>
  <c r="K3" i="4"/>
  <c r="F117" i="3"/>
  <c r="K11" i="4"/>
  <c r="F115" i="3"/>
  <c r="K9" i="4"/>
  <c r="F113" i="3"/>
  <c r="K7" i="4"/>
  <c r="F111" i="3"/>
  <c r="K5" i="4"/>
  <c r="G23" i="2"/>
  <c r="E19" i="1"/>
  <c r="B27"/>
  <c r="V137" i="3"/>
  <c r="X136"/>
  <c r="W136" s="1"/>
  <c r="D40"/>
  <c r="H40" s="1"/>
  <c r="D38"/>
  <c r="H38" s="1"/>
  <c r="D36"/>
  <c r="H36" s="1"/>
  <c r="D34"/>
  <c r="H34" s="1"/>
  <c r="D32"/>
  <c r="H32" s="1"/>
  <c r="E40"/>
  <c r="I40" s="1"/>
  <c r="E38"/>
  <c r="I38" s="1"/>
  <c r="E36"/>
  <c r="I36" s="1"/>
  <c r="E34"/>
  <c r="I34" s="1"/>
  <c r="E32"/>
  <c r="I32" s="1"/>
  <c r="E30"/>
  <c r="I30" s="1"/>
  <c r="F30"/>
  <c r="J30" s="1"/>
  <c r="D31"/>
  <c r="H31" s="1"/>
  <c r="D39"/>
  <c r="H39" s="1"/>
  <c r="D37"/>
  <c r="H37" s="1"/>
  <c r="D35"/>
  <c r="H35" s="1"/>
  <c r="D33"/>
  <c r="H33" s="1"/>
  <c r="E29"/>
  <c r="I29" s="1"/>
  <c r="K29" s="1"/>
  <c r="E39"/>
  <c r="I39" s="1"/>
  <c r="E37"/>
  <c r="I37" s="1"/>
  <c r="E35"/>
  <c r="I35" s="1"/>
  <c r="E33"/>
  <c r="I33" s="1"/>
  <c r="E31"/>
  <c r="I31" s="1"/>
  <c r="N22" i="4" l="1"/>
  <c r="C54" i="3"/>
  <c r="E54" s="1"/>
  <c r="L2" i="4" s="1"/>
  <c r="C108" i="3"/>
  <c r="E108" s="1"/>
  <c r="G108" s="1"/>
  <c r="H108" s="1"/>
  <c r="K30"/>
  <c r="K35"/>
  <c r="K39"/>
  <c r="K34"/>
  <c r="K38"/>
  <c r="K33"/>
  <c r="K37"/>
  <c r="K31"/>
  <c r="C110" s="1"/>
  <c r="E110" s="1"/>
  <c r="G110" s="1"/>
  <c r="H110" s="1"/>
  <c r="K32"/>
  <c r="K36"/>
  <c r="K40"/>
  <c r="B35" i="1"/>
  <c r="V138" i="3"/>
  <c r="X137"/>
  <c r="W137" s="1"/>
  <c r="M2" i="4" l="1"/>
  <c r="U17"/>
  <c r="N23"/>
  <c r="C61" i="3"/>
  <c r="E61" s="1"/>
  <c r="L9" i="4" s="1"/>
  <c r="C115" i="3"/>
  <c r="E115" s="1"/>
  <c r="G115" s="1"/>
  <c r="H115" s="1"/>
  <c r="C58"/>
  <c r="E58" s="1"/>
  <c r="L6" i="4" s="1"/>
  <c r="C112" i="3"/>
  <c r="E112" s="1"/>
  <c r="G112" s="1"/>
  <c r="H112" s="1"/>
  <c r="C59"/>
  <c r="E59" s="1"/>
  <c r="L7" i="4" s="1"/>
  <c r="C113" i="3"/>
  <c r="E113" s="1"/>
  <c r="G113" s="1"/>
  <c r="H113" s="1"/>
  <c r="C60"/>
  <c r="E60" s="1"/>
  <c r="L8" i="4" s="1"/>
  <c r="C114" i="3"/>
  <c r="E114" s="1"/>
  <c r="G114" s="1"/>
  <c r="H114" s="1"/>
  <c r="C55"/>
  <c r="E55" s="1"/>
  <c r="L3" i="4" s="1"/>
  <c r="C109" i="3"/>
  <c r="E109" s="1"/>
  <c r="G109" s="1"/>
  <c r="H109" s="1"/>
  <c r="C65"/>
  <c r="E65" s="1"/>
  <c r="L13" i="4" s="1"/>
  <c r="C119" i="3"/>
  <c r="E119" s="1"/>
  <c r="G119" s="1"/>
  <c r="H119" s="1"/>
  <c r="C57"/>
  <c r="E57" s="1"/>
  <c r="L5" i="4" s="1"/>
  <c r="C111" i="3"/>
  <c r="E111" s="1"/>
  <c r="G111" s="1"/>
  <c r="H111" s="1"/>
  <c r="C62"/>
  <c r="E62" s="1"/>
  <c r="L10" i="4" s="1"/>
  <c r="C116" i="3"/>
  <c r="E116" s="1"/>
  <c r="G116" s="1"/>
  <c r="H116" s="1"/>
  <c r="C63"/>
  <c r="E63" s="1"/>
  <c r="L11" i="4" s="1"/>
  <c r="C117" i="3"/>
  <c r="E117" s="1"/>
  <c r="G117" s="1"/>
  <c r="H117" s="1"/>
  <c r="C64"/>
  <c r="E64" s="1"/>
  <c r="L12" i="4" s="1"/>
  <c r="C118" i="3"/>
  <c r="E118" s="1"/>
  <c r="G118" s="1"/>
  <c r="H118" s="1"/>
  <c r="L42"/>
  <c r="C56"/>
  <c r="V139"/>
  <c r="X138"/>
  <c r="W138" s="1"/>
  <c r="M13" i="4" l="1"/>
  <c r="U28"/>
  <c r="M12"/>
  <c r="U27"/>
  <c r="M11"/>
  <c r="U26"/>
  <c r="M10"/>
  <c r="U25"/>
  <c r="M9"/>
  <c r="U24"/>
  <c r="M8"/>
  <c r="U23"/>
  <c r="M7"/>
  <c r="U22"/>
  <c r="M6"/>
  <c r="U21"/>
  <c r="M5"/>
  <c r="U20"/>
  <c r="M3"/>
  <c r="U18"/>
  <c r="P2"/>
  <c r="M17"/>
  <c r="P17" s="1"/>
  <c r="N24"/>
  <c r="E56" i="3"/>
  <c r="H57"/>
  <c r="H58" s="1"/>
  <c r="H60" s="1"/>
  <c r="V140"/>
  <c r="X139"/>
  <c r="W139" s="1"/>
  <c r="P13" i="4" l="1"/>
  <c r="M28"/>
  <c r="M27"/>
  <c r="P12"/>
  <c r="O13" s="1"/>
  <c r="P11"/>
  <c r="M26"/>
  <c r="P10"/>
  <c r="O11" s="1"/>
  <c r="M25"/>
  <c r="M24"/>
  <c r="P9"/>
  <c r="O10" s="1"/>
  <c r="P8"/>
  <c r="M23"/>
  <c r="P23" s="1"/>
  <c r="O23" s="1"/>
  <c r="M22"/>
  <c r="P22" s="1"/>
  <c r="P7"/>
  <c r="M21"/>
  <c r="P21" s="1"/>
  <c r="O22" s="1"/>
  <c r="P6"/>
  <c r="M20"/>
  <c r="P20" s="1"/>
  <c r="O21" s="1"/>
  <c r="P5"/>
  <c r="O6" s="1"/>
  <c r="H61" i="3"/>
  <c r="H62" s="1"/>
  <c r="L4" i="4"/>
  <c r="M18"/>
  <c r="P18" s="1"/>
  <c r="P3"/>
  <c r="O3" s="1"/>
  <c r="O2"/>
  <c r="O17"/>
  <c r="O18"/>
  <c r="P24"/>
  <c r="O24" s="1"/>
  <c r="N25"/>
  <c r="V141" i="3"/>
  <c r="X140"/>
  <c r="W140" s="1"/>
  <c r="O8" i="4" l="1"/>
  <c r="O12"/>
  <c r="O9"/>
  <c r="O7"/>
  <c r="M4"/>
  <c r="U19"/>
  <c r="N26"/>
  <c r="P25"/>
  <c r="O25" s="1"/>
  <c r="V142" i="3"/>
  <c r="X141"/>
  <c r="W141" s="1"/>
  <c r="M19" i="4" l="1"/>
  <c r="P19" s="1"/>
  <c r="P4"/>
  <c r="P26"/>
  <c r="O26" s="1"/>
  <c r="N27"/>
  <c r="X142" i="3"/>
  <c r="W142" s="1"/>
  <c r="V143"/>
  <c r="O20" i="4" l="1"/>
  <c r="O19"/>
  <c r="O5"/>
  <c r="O4"/>
  <c r="N28"/>
  <c r="P28" s="1"/>
  <c r="P27"/>
  <c r="O27" s="1"/>
  <c r="V144" i="3"/>
  <c r="X144" s="1"/>
  <c r="X143"/>
  <c r="W143" s="1"/>
  <c r="G21" i="4" l="1"/>
  <c r="H21" s="1"/>
  <c r="G15"/>
  <c r="H15" s="1"/>
  <c r="O28"/>
  <c r="W144" i="3"/>
  <c r="H22" i="4"/>
  <c r="I22"/>
  <c r="I21"/>
  <c r="I15"/>
  <c r="I16"/>
  <c r="H16"/>
  <c r="H17" l="1"/>
  <c r="H18" s="1"/>
  <c r="H19" s="1"/>
  <c r="H23"/>
  <c r="H24" s="1"/>
  <c r="H25" s="1"/>
  <c r="H26" s="1"/>
  <c r="R4" l="1"/>
  <c r="T4" s="1"/>
  <c r="U4" s="1"/>
  <c r="R11"/>
  <c r="T11" s="1"/>
  <c r="U11" s="1"/>
  <c r="R12"/>
  <c r="T12" s="1"/>
  <c r="U12" s="1"/>
  <c r="R6"/>
  <c r="T6" s="1"/>
  <c r="U6" s="1"/>
  <c r="R5"/>
  <c r="T5" s="1"/>
  <c r="U5" s="1"/>
  <c r="R7"/>
  <c r="T7" s="1"/>
  <c r="U7" s="1"/>
  <c r="R8"/>
  <c r="T8" s="1"/>
  <c r="U8" s="1"/>
  <c r="R9"/>
  <c r="T9" s="1"/>
  <c r="U9" s="1"/>
  <c r="R13"/>
  <c r="T13" s="1"/>
  <c r="U13" s="1"/>
  <c r="R3"/>
  <c r="T3" s="1"/>
  <c r="U3" s="1"/>
  <c r="R2"/>
  <c r="T2" s="1"/>
  <c r="U2" s="1"/>
  <c r="R10"/>
  <c r="T10" s="1"/>
  <c r="U10" s="1"/>
  <c r="H20"/>
  <c r="S2" s="1"/>
  <c r="S3"/>
  <c r="S4" l="1"/>
  <c r="S7"/>
  <c r="S12"/>
  <c r="S11"/>
  <c r="S9"/>
  <c r="S5"/>
  <c r="S8"/>
  <c r="S13"/>
  <c r="S6"/>
  <c r="S10"/>
</calcChain>
</file>

<file path=xl/sharedStrings.xml><?xml version="1.0" encoding="utf-8"?>
<sst xmlns="http://schemas.openxmlformats.org/spreadsheetml/2006/main" count="307" uniqueCount="218">
  <si>
    <t>Ubat = Ht/At</t>
  </si>
  <si>
    <t>surface (m²)</t>
  </si>
  <si>
    <t>1/U (m²K/W)</t>
  </si>
  <si>
    <t>b</t>
  </si>
  <si>
    <t>Ht (W/K)</t>
  </si>
  <si>
    <t>U (W/m²K)</t>
  </si>
  <si>
    <t>total</t>
  </si>
  <si>
    <t xml:space="preserve">At </t>
  </si>
  <si>
    <t>Ubat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</si>
  <si>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</si>
  <si>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</si>
  <si>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</si>
  <si>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</si>
  <si>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</si>
  <si>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</si>
  <si>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</si>
  <si>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</si>
  <si>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</si>
  <si>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</si>
  <si>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</t>
  </si>
  <si>
    <t>Iss</t>
  </si>
  <si>
    <t>Isn</t>
  </si>
  <si>
    <t>Ise</t>
  </si>
  <si>
    <t>Qss</t>
  </si>
  <si>
    <t>Qs</t>
  </si>
  <si>
    <t>Qsn</t>
  </si>
  <si>
    <t>Qse</t>
  </si>
  <si>
    <t>surface</t>
  </si>
  <si>
    <t>Qi</t>
  </si>
  <si>
    <t>Qg = Qs+Qi</t>
  </si>
  <si>
    <t>Ht=Ubat*At</t>
  </si>
  <si>
    <t>Qe</t>
  </si>
  <si>
    <t>η</t>
  </si>
  <si>
    <t>η = (1-γ^a)/(1-γ^b)</t>
  </si>
  <si>
    <t>γ = Qg/Qe</t>
  </si>
  <si>
    <t>a= 1+Cm/(16H)</t>
  </si>
  <si>
    <t>b= 2 +Cm/(16H)</t>
  </si>
  <si>
    <t>Cm = (165/3,6)* Abat</t>
  </si>
  <si>
    <t>Calculus of Ubat</t>
  </si>
  <si>
    <t>At = Afront south + A front east + Afront north + Afront west + Afloor + Aroof</t>
  </si>
  <si>
    <t>Ht = 1,2*sum (bi*Ai*Ui)</t>
  </si>
  <si>
    <t>Ht is the coefficient of loss by transmission of the batiment in W/K</t>
  </si>
  <si>
    <t>At is the total surface of the envelop in sq.mt</t>
  </si>
  <si>
    <t>Rsi et Rse, interior and exterior superficial resistances in sqm²K/W</t>
  </si>
  <si>
    <t>ei, depth of the wall i in m</t>
  </si>
  <si>
    <t>λi thermal conductivity of the wall i in W/mK</t>
  </si>
  <si>
    <t>Wall</t>
  </si>
  <si>
    <t>Front South</t>
  </si>
  <si>
    <t>Front East</t>
  </si>
  <si>
    <t>Front North</t>
  </si>
  <si>
    <t>Front West</t>
  </si>
  <si>
    <t>Celling</t>
  </si>
  <si>
    <t>Floor</t>
  </si>
  <si>
    <t>Surface (sqm)</t>
  </si>
  <si>
    <t>Siding (sqm)</t>
  </si>
  <si>
    <t>Window (sqm)</t>
  </si>
  <si>
    <t>Insolator (sqm)</t>
  </si>
  <si>
    <t>Cover floor (sqm)</t>
  </si>
  <si>
    <t>Cover celling (sqm)</t>
  </si>
  <si>
    <t>Rsi = 1/hi (sqmK/W)</t>
  </si>
  <si>
    <t>Rse = 1/he (sqmK/W)</t>
  </si>
  <si>
    <t>Type of wall</t>
  </si>
  <si>
    <t>siding</t>
  </si>
  <si>
    <t>window</t>
  </si>
  <si>
    <t>cover floor</t>
  </si>
  <si>
    <t>cover celling</t>
  </si>
  <si>
    <t>λ siding(W/mK)</t>
  </si>
  <si>
    <t>e siding (m)</t>
  </si>
  <si>
    <t>e insolator (m)</t>
  </si>
  <si>
    <t>λ insolator (W/mK)</t>
  </si>
  <si>
    <t>e cover floor(m)</t>
  </si>
  <si>
    <t>λ cover floor (W/mK)</t>
  </si>
  <si>
    <t>e coover celling (m)</t>
  </si>
  <si>
    <t>λ cover celling (W/mK)</t>
  </si>
  <si>
    <t>Examples of sidings</t>
  </si>
  <si>
    <t>Examples of cover</t>
  </si>
  <si>
    <t>Examples od insolator</t>
  </si>
  <si>
    <t>Wood: λ=0,0245 W/mK</t>
  </si>
  <si>
    <t>Brick: λ= 0,5 W/mK</t>
  </si>
  <si>
    <t>Plaster: λ=0,46 W/mK</t>
  </si>
  <si>
    <t>Concrete: λ=1,5 W/mK</t>
  </si>
  <si>
    <t>Polystyrene: λ=0,04 W/mK</t>
  </si>
  <si>
    <t xml:space="preserve">Glass wool: λ = 0,04 W/mK </t>
  </si>
  <si>
    <t>A1 : surface of vertical opaque walls except A5, A6 and A7</t>
  </si>
  <si>
    <t>A2 : surface of high cellings and roofs except A3</t>
  </si>
  <si>
    <t>A3 : Surface of high cellings in contact with an exterior in concrete</t>
  </si>
  <si>
    <t>A5 : Surface of doors, except doors in glass</t>
  </si>
  <si>
    <t>A6 : surface of windows, doors in glass for non-residential buildings</t>
  </si>
  <si>
    <t>A7 : surface of windows, doors in glass for residential buildings</t>
  </si>
  <si>
    <t>A4 : surface of lower floors</t>
  </si>
  <si>
    <t>L9 : periphery of intermediary floors</t>
  </si>
  <si>
    <t>L8 : periphery of lower floors</t>
  </si>
  <si>
    <t>L10 : periphery of high cellings</t>
  </si>
  <si>
    <t xml:space="preserve">ai coefficients </t>
  </si>
  <si>
    <t>Sum Ai</t>
  </si>
  <si>
    <t>With Isi : monthly average of direct normal radiation on a vertical plan i (i=south, east, north, west) in W/sqm</t>
  </si>
  <si>
    <t>24 is the number of hour per day</t>
  </si>
  <si>
    <t>NJ is the number of day per month</t>
  </si>
  <si>
    <t>1000 allows to have the result in kilos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</si>
  <si>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</si>
  <si>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</si>
  <si>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</si>
  <si>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</si>
  <si>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</si>
  <si>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</si>
  <si>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</si>
  <si>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</si>
  <si>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</si>
  <si>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</si>
  <si>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</si>
  <si>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</si>
  <si>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</si>
  <si>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NJ </t>
  </si>
  <si>
    <t>Text in °C</t>
  </si>
  <si>
    <t xml:space="preserve">Sun openning </t>
  </si>
  <si>
    <t>windows north</t>
  </si>
  <si>
    <t xml:space="preserve">solar factor </t>
  </si>
  <si>
    <t xml:space="preserve">shade factor </t>
  </si>
  <si>
    <t>equivalent surface north</t>
  </si>
  <si>
    <t>windows south</t>
  </si>
  <si>
    <t>equivalent surface south</t>
  </si>
  <si>
    <t>windows east</t>
  </si>
  <si>
    <t>equivalent surface east</t>
  </si>
  <si>
    <t>equivalent surface west</t>
  </si>
  <si>
    <t>windows west</t>
  </si>
  <si>
    <t>Qe = H (Tint-Text)*24*NJ/1000 in kWh/year</t>
  </si>
  <si>
    <t>Hv = 0,34 * air flow* warmed volume</t>
  </si>
  <si>
    <t>Qi = 4 * Abat * 24 *NJ/1000 in kWh/year</t>
  </si>
  <si>
    <t>Calculus of Qs, solar gains</t>
  </si>
  <si>
    <t>Calculus of thermal losses Qe</t>
  </si>
  <si>
    <t>Tint in °C</t>
  </si>
  <si>
    <t>NJ</t>
  </si>
  <si>
    <t xml:space="preserve">Evaluation of the parameter  η for the use of warming </t>
  </si>
  <si>
    <t>Ti-Tsc</t>
  </si>
  <si>
    <t>date</t>
  </si>
  <si>
    <t>température sans
chauffage Tsc</t>
  </si>
  <si>
    <r>
      <t>T</t>
    </r>
    <r>
      <rPr>
        <vertAlign val="subscript"/>
        <sz val="10"/>
        <rFont val="Arial"/>
        <family val="2"/>
      </rPr>
      <t>i</t>
    </r>
  </si>
  <si>
    <t>jours</t>
  </si>
  <si>
    <t>Dates de saison de clim</t>
  </si>
  <si>
    <t>nombres de jours
de clim Njc</t>
  </si>
  <si>
    <t>besoin clim
Qh [KWh]</t>
  </si>
  <si>
    <t>celling: Rsi=0,10 Rse=0,04 ;</t>
  </si>
  <si>
    <t>vertical wall : Rsi = 0,13 Rse= 0,04 ;</t>
  </si>
  <si>
    <t>if the wall communicates with a non-warm local, Rse=Rsi</t>
  </si>
  <si>
    <t xml:space="preserve">floor : Rsi=0,17 Rse=0,04 ; </t>
  </si>
  <si>
    <t>Ubat is the global thermal deperdition coefficient of the building with its insolation</t>
  </si>
  <si>
    <r>
      <t xml:space="preserve">bi  correction coefficient, </t>
    </r>
    <r>
      <rPr>
        <b/>
        <sz val="12"/>
        <color rgb="FFFF0000"/>
        <rFont val="Calibri"/>
        <family val="2"/>
        <scheme val="minor"/>
      </rPr>
      <t xml:space="preserve">bi = 0,6 </t>
    </r>
    <r>
      <rPr>
        <sz val="11"/>
        <color theme="1"/>
        <rFont val="Calibri"/>
        <family val="2"/>
        <scheme val="minor"/>
      </rPr>
      <t xml:space="preserve">if there is a direct contact with a non-warm local or </t>
    </r>
    <r>
      <rPr>
        <b/>
        <sz val="12"/>
        <color rgb="FFFF0000"/>
        <rFont val="Calibri"/>
        <family val="2"/>
        <scheme val="minor"/>
      </rPr>
      <t>bi =1</t>
    </r>
    <r>
      <rPr>
        <sz val="11"/>
        <color theme="1"/>
        <rFont val="Calibri"/>
        <family val="2"/>
        <scheme val="minor"/>
      </rPr>
      <t xml:space="preserve"> if there is a direct contact with the exterior</t>
    </r>
  </si>
  <si>
    <r>
      <t xml:space="preserve">Ui = thermal deperdition coefficient for each wall in W/sqm²K, </t>
    </r>
    <r>
      <rPr>
        <b/>
        <sz val="12"/>
        <color rgb="FFFF0000"/>
        <rFont val="Calibri"/>
        <family val="2"/>
        <scheme val="minor"/>
      </rPr>
      <t>Ui = 1/(Rsi+Rse + ei/λi)</t>
    </r>
  </si>
  <si>
    <t>-</t>
  </si>
  <si>
    <t>Calculus  of Ubat RT 2005</t>
  </si>
  <si>
    <t>Ubat rt2005 is the global thermal deperdition coefficient of the building defined by the law prescription</t>
  </si>
  <si>
    <t>Ubat rt 2005 = (sum(aiAi) + sum(ajLj))/sum(Ai)</t>
  </si>
  <si>
    <t>ai : coefficients given by the regulation similar to biUi defined for Ubat</t>
  </si>
  <si>
    <t>Ai or Lj</t>
  </si>
  <si>
    <t>Ai*ai and Lj*aj</t>
  </si>
  <si>
    <t>U bat rt 2005 =</t>
  </si>
  <si>
    <t xml:space="preserve">Qs, solar gains </t>
  </si>
  <si>
    <r>
      <t xml:space="preserve">Asi = equivalent surface in sqm of the front i : </t>
    </r>
    <r>
      <rPr>
        <b/>
        <sz val="12"/>
        <color rgb="FFFF0000"/>
        <rFont val="Calibri"/>
        <family val="2"/>
        <scheme val="minor"/>
      </rPr>
      <t>As = F*S*A</t>
    </r>
    <r>
      <rPr>
        <sz val="11"/>
        <color theme="1"/>
        <rFont val="Calibri"/>
        <family val="2"/>
        <scheme val="minor"/>
      </rPr>
      <t xml:space="preserve"> with F shade factor, </t>
    </r>
    <r>
      <rPr>
        <b/>
        <sz val="12"/>
        <color rgb="FFFF0000"/>
        <rFont val="Calibri"/>
        <family val="2"/>
        <scheme val="minor"/>
      </rPr>
      <t>F= 1</t>
    </r>
    <r>
      <rPr>
        <sz val="11"/>
        <rFont val="Calibri"/>
        <family val="2"/>
        <scheme val="minor"/>
      </rPr>
      <t xml:space="preserve"> ; </t>
    </r>
    <r>
      <rPr>
        <sz val="11"/>
        <color theme="1"/>
        <rFont val="Calibri"/>
        <family val="2"/>
        <scheme val="minor"/>
      </rPr>
      <t xml:space="preserve">S solar factor, </t>
    </r>
    <r>
      <rPr>
        <b/>
        <sz val="12"/>
        <color rgb="FFFF0000"/>
        <rFont val="Calibri"/>
        <family val="2"/>
        <scheme val="minor"/>
      </rPr>
      <t>S= 0,8</t>
    </r>
    <r>
      <rPr>
        <sz val="11"/>
        <rFont val="Calibri"/>
        <family val="2"/>
        <scheme val="minor"/>
      </rPr>
      <t xml:space="preserve"> ;</t>
    </r>
    <r>
      <rPr>
        <sz val="11"/>
        <color theme="1"/>
        <rFont val="Calibri"/>
        <family val="2"/>
        <scheme val="minor"/>
      </rPr>
      <t xml:space="preserve"> and A surface of the windows exposed to i (north, south, east, west)</t>
    </r>
  </si>
  <si>
    <t>Isw</t>
  </si>
  <si>
    <t>Qsw</t>
  </si>
  <si>
    <t>Qs total =</t>
  </si>
  <si>
    <t>Qs = (Iss*Ass+Ise*Ase+Isn*Asn+Isw*Asw)*24*NJ/1000 in kWh/year</t>
  </si>
  <si>
    <t>Calculus of Qi, inner gains</t>
  </si>
  <si>
    <t>Qi, inner gains</t>
  </si>
  <si>
    <t xml:space="preserve">Abat: surface inhabitable in sqm  </t>
  </si>
  <si>
    <t>Nj number of days per month</t>
  </si>
  <si>
    <t>Abat =</t>
  </si>
  <si>
    <t>kWh/year</t>
  </si>
  <si>
    <t>kWh/sqm/year</t>
  </si>
  <si>
    <t>Qg, total gains =</t>
  </si>
  <si>
    <t>Qi, total inner gains =</t>
  </si>
  <si>
    <t>Qs, total solar gains =</t>
  </si>
  <si>
    <t>Qe, thermal losses</t>
  </si>
  <si>
    <t>H =</t>
  </si>
  <si>
    <t>Ht =</t>
  </si>
  <si>
    <t>warmed volume in m^3 =</t>
  </si>
  <si>
    <r>
      <rPr>
        <b/>
        <sz val="12"/>
        <color rgb="FFFF0000"/>
        <rFont val="Calibri"/>
        <family val="2"/>
        <scheme val="minor"/>
      </rPr>
      <t xml:space="preserve">air flow </t>
    </r>
    <r>
      <rPr>
        <sz val="11"/>
        <color theme="1"/>
        <rFont val="Calibri"/>
        <family val="2"/>
        <scheme val="minor"/>
      </rPr>
      <t>= 0,5 vol/h</t>
    </r>
  </si>
  <si>
    <t>Hv =</t>
  </si>
  <si>
    <t>Qe, total losses =</t>
  </si>
  <si>
    <t xml:space="preserve">η, use of warming parameter </t>
  </si>
  <si>
    <t xml:space="preserve">a, factor </t>
  </si>
  <si>
    <t>b, factor</t>
  </si>
  <si>
    <t>Cm, factor</t>
  </si>
  <si>
    <t>Cm =</t>
  </si>
  <si>
    <t>b =</t>
  </si>
  <si>
    <t>a =</t>
  </si>
  <si>
    <t>H, global thermal deperdition coefficient</t>
  </si>
  <si>
    <t>γ, ratio between gains and losses</t>
  </si>
  <si>
    <t>Tww, temperature without warming</t>
  </si>
  <si>
    <t>Text</t>
  </si>
  <si>
    <t>Tint, interior temperature generally equal to 21°C</t>
  </si>
  <si>
    <t>Text, exterior temperature given by meteorologic datas in °C</t>
  </si>
  <si>
    <t>Text, exterior temperature given by meteorogical datas in °C</t>
  </si>
  <si>
    <t>Evaluation of inside temperature without warming</t>
  </si>
  <si>
    <t>Tww = Text + Qg*1000/(H*NJ*24)</t>
  </si>
  <si>
    <r>
      <rPr>
        <b/>
        <sz val="12"/>
        <color rgb="FFFF0000"/>
        <rFont val="Calibri"/>
        <family val="2"/>
        <scheme val="minor"/>
      </rPr>
      <t>H = Ht + Hv</t>
    </r>
    <r>
      <rPr>
        <sz val="11"/>
        <color theme="1"/>
        <rFont val="Calibri"/>
        <family val="2"/>
        <scheme val="minor"/>
      </rPr>
      <t xml:space="preserve"> total thermal déperdition coefficient in W/K</t>
    </r>
  </si>
  <si>
    <t>H, total thermal deperdition coefficient in W/K</t>
  </si>
  <si>
    <t>Qg, total gains in kWh</t>
  </si>
  <si>
    <t>Qg</t>
  </si>
  <si>
    <t>Tww</t>
  </si>
  <si>
    <t xml:space="preserve"> </t>
  </si>
  <si>
    <t>Ti</t>
  </si>
  <si>
    <t>Ti-Tww</t>
  </si>
  <si>
    <t>dates of warming</t>
  </si>
  <si>
    <t>numbers of days of warming</t>
  </si>
  <si>
    <t>Warming and cooling</t>
  </si>
  <si>
    <t>end of warming</t>
  </si>
  <si>
    <t>nb days</t>
  </si>
  <si>
    <t>end</t>
  </si>
  <si>
    <t>ending date</t>
  </si>
  <si>
    <t>start of warming</t>
  </si>
  <si>
    <t>start</t>
  </si>
  <si>
    <t>starting date</t>
  </si>
  <si>
    <r>
      <t>T</t>
    </r>
    <r>
      <rPr>
        <b/>
        <vertAlign val="subscript"/>
        <sz val="12"/>
        <rFont val="Calibri"/>
        <family val="2"/>
        <scheme val="minor"/>
      </rPr>
      <t>i</t>
    </r>
  </si>
  <si>
    <t>Dates of cooling</t>
  </si>
  <si>
    <t>numbers of days cooling</t>
  </si>
  <si>
    <t>Cooling needs
Qh [KWh]</t>
  </si>
  <si>
    <t>Warming needs Qh (kWh)</t>
  </si>
</sst>
</file>

<file path=xl/styles.xml><?xml version="1.0" encoding="utf-8"?>
<styleSheet xmlns="http://schemas.openxmlformats.org/spreadsheetml/2006/main">
  <numFmts count="3">
    <numFmt numFmtId="164" formatCode="0.000000000"/>
    <numFmt numFmtId="165" formatCode="dd/mm/yy"/>
    <numFmt numFmtId="166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dashed">
        <color auto="1"/>
      </left>
      <right style="slantDashDot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1" fontId="4" fillId="0" borderId="18" xfId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/>
    <xf numFmtId="0" fontId="0" fillId="0" borderId="0" xfId="0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8" xfId="1" applyFont="1" applyFill="1" applyBorder="1" applyAlignment="1">
      <alignment horizontal="center" vertical="center" wrapText="1"/>
    </xf>
    <xf numFmtId="2" fontId="4" fillId="0" borderId="18" xfId="1" applyNumberFormat="1" applyFill="1" applyBorder="1" applyAlignment="1">
      <alignment horizontal="center" vertical="center"/>
    </xf>
    <xf numFmtId="165" fontId="4" fillId="0" borderId="18" xfId="1" applyNumberFormat="1" applyBorder="1" applyAlignment="1">
      <alignment vertical="center"/>
    </xf>
    <xf numFmtId="165" fontId="0" fillId="0" borderId="18" xfId="1" applyNumberFormat="1" applyFont="1" applyBorder="1" applyAlignment="1">
      <alignment horizontal="center" vertical="center"/>
    </xf>
    <xf numFmtId="1" fontId="4" fillId="0" borderId="18" xfId="1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19" xfId="1" applyNumberFormat="1" applyFont="1" applyFill="1" applyBorder="1" applyAlignment="1">
      <alignment vertical="center"/>
    </xf>
    <xf numFmtId="166" fontId="4" fillId="0" borderId="20" xfId="1" applyNumberFormat="1" applyFill="1" applyBorder="1" applyAlignment="1">
      <alignment vertical="center"/>
    </xf>
    <xf numFmtId="165" fontId="4" fillId="0" borderId="20" xfId="1" applyNumberFormat="1" applyFill="1" applyBorder="1" applyAlignment="1">
      <alignment vertical="center"/>
    </xf>
    <xf numFmtId="0" fontId="4" fillId="0" borderId="21" xfId="1" applyFill="1" applyBorder="1" applyAlignment="1">
      <alignment vertical="center"/>
    </xf>
    <xf numFmtId="14" fontId="0" fillId="0" borderId="22" xfId="1" applyNumberFormat="1" applyFont="1" applyBorder="1" applyAlignment="1">
      <alignment vertical="center"/>
    </xf>
    <xf numFmtId="0" fontId="4" fillId="0" borderId="0" xfId="1" applyAlignment="1">
      <alignment vertical="center"/>
    </xf>
    <xf numFmtId="165" fontId="4" fillId="0" borderId="0" xfId="1" applyNumberFormat="1" applyAlignment="1">
      <alignment vertical="center"/>
    </xf>
    <xf numFmtId="0" fontId="4" fillId="0" borderId="23" xfId="1" applyBorder="1" applyAlignment="1">
      <alignment vertical="center"/>
    </xf>
    <xf numFmtId="0" fontId="4" fillId="0" borderId="22" xfId="1" applyBorder="1" applyAlignment="1">
      <alignment vertical="center"/>
    </xf>
    <xf numFmtId="0" fontId="4" fillId="0" borderId="0" xfId="1" applyNumberFormat="1" applyAlignment="1">
      <alignment vertical="center"/>
    </xf>
    <xf numFmtId="1" fontId="4" fillId="0" borderId="0" xfId="1" applyNumberFormat="1" applyAlignment="1">
      <alignment vertical="center"/>
    </xf>
    <xf numFmtId="0" fontId="0" fillId="0" borderId="24" xfId="1" applyFont="1" applyBorder="1" applyAlignment="1">
      <alignment vertical="center"/>
    </xf>
    <xf numFmtId="165" fontId="4" fillId="0" borderId="25" xfId="1" applyNumberFormat="1" applyBorder="1" applyAlignment="1">
      <alignment vertical="center"/>
    </xf>
    <xf numFmtId="166" fontId="4" fillId="0" borderId="0" xfId="1" applyNumberFormat="1" applyAlignment="1">
      <alignment vertical="center"/>
    </xf>
    <xf numFmtId="165" fontId="4" fillId="0" borderId="0" xfId="1" applyNumberFormat="1" applyBorder="1" applyAlignment="1">
      <alignment vertical="center"/>
    </xf>
    <xf numFmtId="0" fontId="4" fillId="0" borderId="26" xfId="1" applyBorder="1" applyAlignment="1">
      <alignment vertical="center"/>
    </xf>
    <xf numFmtId="0" fontId="4" fillId="0" borderId="27" xfId="1" applyBorder="1" applyAlignment="1">
      <alignment vertical="center"/>
    </xf>
    <xf numFmtId="165" fontId="4" fillId="0" borderId="27" xfId="1" applyNumberFormat="1" applyBorder="1" applyAlignment="1">
      <alignment vertical="center"/>
    </xf>
    <xf numFmtId="0" fontId="4" fillId="0" borderId="28" xfId="1" applyBorder="1" applyAlignment="1">
      <alignment vertical="center"/>
    </xf>
    <xf numFmtId="0" fontId="14" fillId="0" borderId="0" xfId="0" applyFont="1"/>
    <xf numFmtId="0" fontId="5" fillId="0" borderId="0" xfId="1" applyFont="1" applyFill="1" applyBorder="1" applyAlignment="1">
      <alignment horizontal="center" vertical="center" wrapText="1"/>
    </xf>
    <xf numFmtId="164" fontId="4" fillId="0" borderId="0" xfId="1" applyNumberForma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2" fontId="12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2" fontId="12" fillId="0" borderId="5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166" fontId="12" fillId="0" borderId="6" xfId="1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12" fillId="0" borderId="8" xfId="1" applyNumberFormat="1" applyFont="1" applyFill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center"/>
    </xf>
    <xf numFmtId="2" fontId="12" fillId="0" borderId="8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2" fillId="0" borderId="18" xfId="1" applyNumberFormat="1" applyFont="1" applyFill="1" applyBorder="1" applyAlignment="1">
      <alignment horizontal="center" vertical="center"/>
    </xf>
    <xf numFmtId="1" fontId="12" fillId="0" borderId="18" xfId="1" applyNumberFormat="1" applyFont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/>
    </xf>
    <xf numFmtId="1" fontId="12" fillId="0" borderId="18" xfId="1" applyNumberFormat="1" applyFont="1" applyFill="1" applyBorder="1" applyAlignment="1">
      <alignment horizontal="center" vertical="center"/>
    </xf>
    <xf numFmtId="165" fontId="12" fillId="0" borderId="18" xfId="1" applyNumberFormat="1" applyFont="1" applyBorder="1" applyAlignment="1">
      <alignment horizontal="center" vertical="center"/>
    </xf>
    <xf numFmtId="2" fontId="12" fillId="0" borderId="45" xfId="1" applyNumberFormat="1" applyFont="1" applyFill="1" applyBorder="1" applyAlignment="1">
      <alignment horizontal="center" vertical="center"/>
    </xf>
    <xf numFmtId="2" fontId="12" fillId="0" borderId="46" xfId="1" applyNumberFormat="1" applyFont="1" applyFill="1" applyBorder="1" applyAlignment="1">
      <alignment horizontal="center" vertical="center"/>
    </xf>
    <xf numFmtId="2" fontId="12" fillId="0" borderId="47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  <xf numFmtId="1" fontId="12" fillId="0" borderId="48" xfId="1" applyNumberFormat="1" applyFont="1" applyBorder="1" applyAlignment="1">
      <alignment horizontal="center" vertical="center"/>
    </xf>
    <xf numFmtId="165" fontId="12" fillId="0" borderId="48" xfId="1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</cellXfs>
  <cellStyles count="2">
    <cellStyle name="Normal" xfId="0" builtinId="0"/>
    <cellStyle name="Normal_tableau valeu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K31" sqref="K31"/>
    </sheetView>
  </sheetViews>
  <sheetFormatPr baseColWidth="10" defaultRowHeight="15"/>
  <cols>
    <col min="1" max="1" width="23" customWidth="1"/>
    <col min="2" max="2" width="17.7109375" customWidth="1"/>
    <col min="3" max="3" width="20.5703125" customWidth="1"/>
    <col min="4" max="4" width="16.7109375" customWidth="1"/>
    <col min="5" max="5" width="14" customWidth="1"/>
    <col min="6" max="6" width="19" customWidth="1"/>
    <col min="7" max="7" width="24.7109375" customWidth="1"/>
    <col min="8" max="8" width="22.140625" customWidth="1"/>
    <col min="9" max="9" width="19.140625" customWidth="1"/>
    <col min="10" max="10" width="20.5703125" customWidth="1"/>
  </cols>
  <sheetData>
    <row r="1" spans="1:5" ht="28.5">
      <c r="A1" s="13" t="s">
        <v>38</v>
      </c>
    </row>
    <row r="3" spans="1:5" ht="15.75">
      <c r="A3" t="s">
        <v>145</v>
      </c>
      <c r="E3" s="14" t="s">
        <v>0</v>
      </c>
    </row>
    <row r="5" spans="1:5" ht="15.75">
      <c r="A5" t="s">
        <v>42</v>
      </c>
      <c r="C5" s="14" t="s">
        <v>39</v>
      </c>
    </row>
    <row r="7" spans="1:5" ht="15.75">
      <c r="A7" t="s">
        <v>41</v>
      </c>
      <c r="D7" s="14" t="s">
        <v>40</v>
      </c>
    </row>
    <row r="10" spans="1:5" ht="15.75">
      <c r="A10" t="s">
        <v>146</v>
      </c>
    </row>
    <row r="11" spans="1:5" ht="15.75">
      <c r="A11" t="s">
        <v>147</v>
      </c>
    </row>
    <row r="12" spans="1:5">
      <c r="A12" t="s">
        <v>43</v>
      </c>
      <c r="E12" t="s">
        <v>142</v>
      </c>
    </row>
    <row r="13" spans="1:5">
      <c r="A13" t="s">
        <v>44</v>
      </c>
      <c r="E13" t="s">
        <v>141</v>
      </c>
    </row>
    <row r="14" spans="1:5">
      <c r="A14" t="s">
        <v>45</v>
      </c>
      <c r="E14" t="s">
        <v>144</v>
      </c>
    </row>
    <row r="15" spans="1:5">
      <c r="E15" t="s">
        <v>143</v>
      </c>
    </row>
    <row r="17" spans="1:14" ht="15.75" thickBot="1"/>
    <row r="18" spans="1:14">
      <c r="A18" s="97" t="s">
        <v>46</v>
      </c>
      <c r="B18" s="17" t="s">
        <v>53</v>
      </c>
      <c r="C18" s="17" t="s">
        <v>54</v>
      </c>
      <c r="D18" s="17" t="s">
        <v>55</v>
      </c>
      <c r="E18" s="17" t="s">
        <v>56</v>
      </c>
      <c r="F18" s="17" t="s">
        <v>57</v>
      </c>
      <c r="G18" s="17" t="s">
        <v>58</v>
      </c>
      <c r="H18" s="17" t="s">
        <v>59</v>
      </c>
      <c r="I18" s="18" t="s">
        <v>60</v>
      </c>
    </row>
    <row r="19" spans="1:14">
      <c r="A19" s="98" t="s">
        <v>47</v>
      </c>
      <c r="B19" s="15"/>
      <c r="C19" s="15">
        <f>(B19-D19)</f>
        <v>0</v>
      </c>
      <c r="D19" s="15"/>
      <c r="E19" s="15">
        <f>C19</f>
        <v>0</v>
      </c>
      <c r="F19" s="15"/>
      <c r="G19" s="15"/>
      <c r="H19" s="15">
        <v>0.13</v>
      </c>
      <c r="I19" s="16">
        <v>0.04</v>
      </c>
    </row>
    <row r="20" spans="1:14">
      <c r="A20" s="98" t="s">
        <v>48</v>
      </c>
      <c r="B20" s="15"/>
      <c r="C20" s="15">
        <f t="shared" ref="C20:C22" si="0">(B20-D20)</f>
        <v>0</v>
      </c>
      <c r="D20" s="15"/>
      <c r="E20" s="15">
        <f t="shared" ref="E20:E22" si="1">C20</f>
        <v>0</v>
      </c>
      <c r="F20" s="15"/>
      <c r="G20" s="15"/>
      <c r="H20" s="15">
        <v>0.13</v>
      </c>
      <c r="I20" s="16">
        <v>0.04</v>
      </c>
    </row>
    <row r="21" spans="1:14">
      <c r="A21" s="98" t="s">
        <v>49</v>
      </c>
      <c r="B21" s="15"/>
      <c r="C21" s="15">
        <f t="shared" si="0"/>
        <v>0</v>
      </c>
      <c r="D21" s="15"/>
      <c r="E21" s="15">
        <f t="shared" si="1"/>
        <v>0</v>
      </c>
      <c r="F21" s="15"/>
      <c r="G21" s="15"/>
      <c r="H21" s="15">
        <v>0.13</v>
      </c>
      <c r="I21" s="16">
        <v>0.04</v>
      </c>
    </row>
    <row r="22" spans="1:14">
      <c r="A22" s="98" t="s">
        <v>50</v>
      </c>
      <c r="B22" s="15"/>
      <c r="C22" s="15">
        <f t="shared" si="0"/>
        <v>0</v>
      </c>
      <c r="D22" s="15"/>
      <c r="E22" s="15">
        <f t="shared" si="1"/>
        <v>0</v>
      </c>
      <c r="F22" s="15"/>
      <c r="G22" s="15"/>
      <c r="H22" s="15">
        <v>0.13</v>
      </c>
      <c r="I22" s="16">
        <v>0.04</v>
      </c>
    </row>
    <row r="23" spans="1:14">
      <c r="A23" s="98" t="s">
        <v>51</v>
      </c>
      <c r="B23" s="15"/>
      <c r="C23" s="15" t="s">
        <v>148</v>
      </c>
      <c r="D23" s="15"/>
      <c r="E23" s="15" t="s">
        <v>148</v>
      </c>
      <c r="F23" s="15"/>
      <c r="G23" s="15">
        <f>B23</f>
        <v>0</v>
      </c>
      <c r="H23" s="15">
        <v>0.1</v>
      </c>
      <c r="I23" s="16">
        <v>0.04</v>
      </c>
    </row>
    <row r="24" spans="1:14" ht="15.75" thickBot="1">
      <c r="A24" s="99" t="s">
        <v>52</v>
      </c>
      <c r="B24" s="19"/>
      <c r="C24" s="19" t="s">
        <v>148</v>
      </c>
      <c r="D24" s="19"/>
      <c r="E24" s="19" t="s">
        <v>148</v>
      </c>
      <c r="F24" s="19">
        <f>B24</f>
        <v>0</v>
      </c>
      <c r="G24" s="19"/>
      <c r="H24" s="19">
        <v>0.17</v>
      </c>
      <c r="I24" s="20">
        <v>0.04</v>
      </c>
    </row>
    <row r="25" spans="1:14" ht="15.75" thickBot="1"/>
    <row r="26" spans="1:14">
      <c r="A26" s="97" t="s">
        <v>61</v>
      </c>
      <c r="B26" s="17" t="s">
        <v>1</v>
      </c>
      <c r="C26" s="17" t="s">
        <v>67</v>
      </c>
      <c r="D26" s="17" t="s">
        <v>66</v>
      </c>
      <c r="E26" s="17" t="s">
        <v>68</v>
      </c>
      <c r="F26" s="17" t="s">
        <v>69</v>
      </c>
      <c r="G26" s="17" t="s">
        <v>70</v>
      </c>
      <c r="H26" s="17" t="s">
        <v>71</v>
      </c>
      <c r="I26" s="17" t="s">
        <v>72</v>
      </c>
      <c r="J26" s="17" t="s">
        <v>73</v>
      </c>
      <c r="K26" s="17" t="s">
        <v>2</v>
      </c>
      <c r="L26" s="17" t="s">
        <v>5</v>
      </c>
      <c r="M26" s="17" t="s">
        <v>3</v>
      </c>
      <c r="N26" s="18" t="s">
        <v>4</v>
      </c>
    </row>
    <row r="27" spans="1:14">
      <c r="A27" s="98" t="s">
        <v>62</v>
      </c>
      <c r="B27" s="15">
        <f>SUM(C19:C24)</f>
        <v>0</v>
      </c>
      <c r="C27" s="15"/>
      <c r="D27" s="15"/>
      <c r="E27" s="15"/>
      <c r="F27" s="15"/>
      <c r="G27" s="15"/>
      <c r="H27" s="15"/>
      <c r="I27" s="15"/>
      <c r="J27" s="15"/>
      <c r="K27" s="15" t="e">
        <f>H19+I19+C27/D27+E27/F27</f>
        <v>#DIV/0!</v>
      </c>
      <c r="L27" s="15" t="e">
        <f>1/K27</f>
        <v>#DIV/0!</v>
      </c>
      <c r="M27" s="15">
        <v>1</v>
      </c>
      <c r="N27" s="16" t="e">
        <f>1.2*M27*L27*B27</f>
        <v>#DIV/0!</v>
      </c>
    </row>
    <row r="28" spans="1:14">
      <c r="A28" s="98" t="s">
        <v>63</v>
      </c>
      <c r="B28" s="15">
        <f>SUM(D19:D24)</f>
        <v>0</v>
      </c>
      <c r="C28" s="15"/>
      <c r="D28" s="21"/>
      <c r="E28" s="15"/>
      <c r="F28" s="15"/>
      <c r="G28" s="15"/>
      <c r="H28" s="15"/>
      <c r="I28" s="15"/>
      <c r="J28" s="15"/>
      <c r="K28" s="15" t="s">
        <v>148</v>
      </c>
      <c r="L28" s="15">
        <f>1.2</f>
        <v>1.2</v>
      </c>
      <c r="M28" s="15">
        <v>1</v>
      </c>
      <c r="N28" s="16">
        <f>1.2*M28*L28*B28</f>
        <v>0</v>
      </c>
    </row>
    <row r="29" spans="1:14">
      <c r="A29" s="98" t="s">
        <v>64</v>
      </c>
      <c r="B29" s="15">
        <f>F24</f>
        <v>0</v>
      </c>
      <c r="C29" s="15"/>
      <c r="D29" s="15"/>
      <c r="E29" s="15"/>
      <c r="F29" s="15"/>
      <c r="G29" s="15"/>
      <c r="H29" s="15"/>
      <c r="I29" s="15"/>
      <c r="J29" s="15"/>
      <c r="K29" s="15" t="e">
        <f>H24+I24+G29/H29+E29/F29</f>
        <v>#DIV/0!</v>
      </c>
      <c r="L29" s="15" t="e">
        <f>1/K29</f>
        <v>#DIV/0!</v>
      </c>
      <c r="M29" s="15">
        <v>1</v>
      </c>
      <c r="N29" s="16" t="e">
        <f t="shared" ref="N29:N30" si="2">1.2*M29*L29*B29</f>
        <v>#DIV/0!</v>
      </c>
    </row>
    <row r="30" spans="1:14">
      <c r="A30" s="98" t="s">
        <v>65</v>
      </c>
      <c r="B30" s="15">
        <f>G23</f>
        <v>0</v>
      </c>
      <c r="C30" s="15"/>
      <c r="D30" s="15"/>
      <c r="E30" s="15"/>
      <c r="F30" s="15"/>
      <c r="G30" s="15"/>
      <c r="H30" s="15"/>
      <c r="I30" s="15"/>
      <c r="J30" s="15"/>
      <c r="K30" s="15" t="e">
        <f>H23+I23+I30/J30+E30/F30</f>
        <v>#DIV/0!</v>
      </c>
      <c r="L30" s="15" t="e">
        <f>1/K30</f>
        <v>#DIV/0!</v>
      </c>
      <c r="M30" s="15">
        <v>1</v>
      </c>
      <c r="N30" s="16" t="e">
        <f t="shared" si="2"/>
        <v>#DIV/0!</v>
      </c>
    </row>
    <row r="31" spans="1:14" ht="15.75" thickBot="1">
      <c r="A31" s="99" t="s">
        <v>6</v>
      </c>
      <c r="B31" s="19">
        <f>SUM(B27:B30)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 t="e">
        <f>SUM(N27:N30)</f>
        <v>#DIV/0!</v>
      </c>
    </row>
    <row r="32" spans="1:14">
      <c r="A32" s="1"/>
      <c r="B32" s="2"/>
    </row>
    <row r="33" spans="1:2">
      <c r="A33" s="5" t="s">
        <v>7</v>
      </c>
      <c r="B33" s="6">
        <f>B19+B20+B22+B21+B23+B24</f>
        <v>0</v>
      </c>
    </row>
    <row r="34" spans="1:2">
      <c r="A34" s="4"/>
      <c r="B34" s="3"/>
    </row>
    <row r="35" spans="1:2" ht="15.75" thickBot="1">
      <c r="A35" s="7" t="s">
        <v>8</v>
      </c>
      <c r="B35" s="8" t="e">
        <f>N31/B33</f>
        <v>#DIV/0!</v>
      </c>
    </row>
    <row r="38" spans="1:2">
      <c r="A38" t="s">
        <v>74</v>
      </c>
      <c r="B38" t="s">
        <v>77</v>
      </c>
    </row>
    <row r="39" spans="1:2">
      <c r="B39" t="s">
        <v>78</v>
      </c>
    </row>
    <row r="41" spans="1:2">
      <c r="A41" t="s">
        <v>75</v>
      </c>
      <c r="B41" t="s">
        <v>79</v>
      </c>
    </row>
    <row r="42" spans="1:2">
      <c r="B42" t="s">
        <v>80</v>
      </c>
    </row>
    <row r="44" spans="1:2">
      <c r="A44" t="s">
        <v>76</v>
      </c>
      <c r="B44" t="s">
        <v>81</v>
      </c>
    </row>
    <row r="45" spans="1:2">
      <c r="B45" t="s">
        <v>82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/>
  </sheetViews>
  <sheetFormatPr baseColWidth="10" defaultRowHeight="15"/>
  <cols>
    <col min="1" max="1" width="14.140625" customWidth="1"/>
    <col min="2" max="2" width="30.28515625" customWidth="1"/>
    <col min="4" max="4" width="12.5703125" customWidth="1"/>
    <col min="6" max="6" width="14.5703125" customWidth="1"/>
  </cols>
  <sheetData>
    <row r="1" spans="1:8" ht="28.5">
      <c r="A1" s="22" t="s">
        <v>149</v>
      </c>
    </row>
    <row r="3" spans="1:8">
      <c r="A3" t="s">
        <v>150</v>
      </c>
    </row>
    <row r="4" spans="1:8" ht="15.75">
      <c r="A4" s="14" t="s">
        <v>151</v>
      </c>
    </row>
    <row r="6" spans="1:8">
      <c r="A6" t="s">
        <v>152</v>
      </c>
      <c r="G6" t="s">
        <v>93</v>
      </c>
    </row>
    <row r="7" spans="1:8">
      <c r="A7" t="s">
        <v>83</v>
      </c>
      <c r="G7" t="s">
        <v>9</v>
      </c>
      <c r="H7">
        <v>0.36</v>
      </c>
    </row>
    <row r="8" spans="1:8">
      <c r="A8" t="s">
        <v>84</v>
      </c>
      <c r="G8" t="s">
        <v>10</v>
      </c>
      <c r="H8">
        <v>0.2</v>
      </c>
    </row>
    <row r="9" spans="1:8">
      <c r="A9" t="s">
        <v>85</v>
      </c>
      <c r="G9" t="s">
        <v>11</v>
      </c>
      <c r="H9">
        <v>0.27</v>
      </c>
    </row>
    <row r="10" spans="1:8">
      <c r="A10" t="s">
        <v>89</v>
      </c>
      <c r="G10" t="s">
        <v>12</v>
      </c>
      <c r="H10">
        <v>0.27</v>
      </c>
    </row>
    <row r="11" spans="1:8">
      <c r="A11" t="s">
        <v>86</v>
      </c>
      <c r="G11" t="s">
        <v>13</v>
      </c>
      <c r="H11">
        <v>1.5</v>
      </c>
    </row>
    <row r="12" spans="1:8">
      <c r="A12" t="s">
        <v>87</v>
      </c>
      <c r="G12" t="s">
        <v>14</v>
      </c>
      <c r="H12">
        <v>2.1</v>
      </c>
    </row>
    <row r="13" spans="1:8">
      <c r="A13" t="s">
        <v>88</v>
      </c>
      <c r="G13" t="s">
        <v>15</v>
      </c>
      <c r="H13">
        <v>1.8</v>
      </c>
    </row>
    <row r="14" spans="1:8">
      <c r="A14" t="s">
        <v>91</v>
      </c>
      <c r="G14" t="s">
        <v>16</v>
      </c>
      <c r="H14">
        <v>0.4</v>
      </c>
    </row>
    <row r="15" spans="1:8">
      <c r="A15" t="s">
        <v>90</v>
      </c>
      <c r="G15" t="s">
        <v>17</v>
      </c>
      <c r="H15">
        <v>0.55000000000000004</v>
      </c>
    </row>
    <row r="16" spans="1:8">
      <c r="A16" t="s">
        <v>92</v>
      </c>
      <c r="G16" t="s">
        <v>18</v>
      </c>
      <c r="H16">
        <v>0.5</v>
      </c>
    </row>
    <row r="18" spans="1:7">
      <c r="B18" t="s">
        <v>153</v>
      </c>
      <c r="C18" t="s">
        <v>19</v>
      </c>
      <c r="D18" t="s">
        <v>154</v>
      </c>
    </row>
    <row r="19" spans="1:7">
      <c r="A19">
        <v>1</v>
      </c>
      <c r="C19">
        <v>0.36</v>
      </c>
      <c r="D19">
        <f>B19*C19</f>
        <v>0</v>
      </c>
    </row>
    <row r="20" spans="1:7">
      <c r="A20">
        <v>2</v>
      </c>
      <c r="C20">
        <v>0.2</v>
      </c>
      <c r="D20">
        <f t="shared" ref="D20:D28" si="0">B20*C20</f>
        <v>0</v>
      </c>
    </row>
    <row r="21" spans="1:7">
      <c r="A21">
        <v>3</v>
      </c>
      <c r="C21">
        <v>0.27</v>
      </c>
      <c r="D21">
        <f t="shared" si="0"/>
        <v>0</v>
      </c>
    </row>
    <row r="22" spans="1:7">
      <c r="A22">
        <v>4</v>
      </c>
      <c r="C22">
        <v>0.27</v>
      </c>
      <c r="D22">
        <f t="shared" si="0"/>
        <v>0</v>
      </c>
    </row>
    <row r="23" spans="1:7">
      <c r="A23">
        <v>5</v>
      </c>
      <c r="C23">
        <v>1.5</v>
      </c>
      <c r="D23">
        <f t="shared" si="0"/>
        <v>0</v>
      </c>
      <c r="F23" t="s">
        <v>155</v>
      </c>
      <c r="G23" t="e">
        <f>SUM(D19:D28)/B29</f>
        <v>#DIV/0!</v>
      </c>
    </row>
    <row r="24" spans="1:7">
      <c r="A24">
        <v>6</v>
      </c>
      <c r="C24">
        <v>2.1</v>
      </c>
      <c r="D24">
        <f t="shared" si="0"/>
        <v>0</v>
      </c>
    </row>
    <row r="25" spans="1:7">
      <c r="A25">
        <v>7</v>
      </c>
      <c r="C25">
        <v>1.8</v>
      </c>
      <c r="D25">
        <f t="shared" si="0"/>
        <v>0</v>
      </c>
    </row>
    <row r="26" spans="1:7">
      <c r="A26">
        <v>8</v>
      </c>
      <c r="C26">
        <v>0.4</v>
      </c>
      <c r="D26">
        <f t="shared" si="0"/>
        <v>0</v>
      </c>
    </row>
    <row r="27" spans="1:7">
      <c r="A27">
        <v>9</v>
      </c>
      <c r="C27">
        <v>0.55000000000000004</v>
      </c>
      <c r="D27">
        <f t="shared" si="0"/>
        <v>0</v>
      </c>
    </row>
    <row r="28" spans="1:7">
      <c r="A28">
        <v>10</v>
      </c>
      <c r="C28">
        <v>0.5</v>
      </c>
      <c r="D28">
        <f t="shared" si="0"/>
        <v>0</v>
      </c>
    </row>
    <row r="29" spans="1:7">
      <c r="A29" t="s">
        <v>94</v>
      </c>
      <c r="B29">
        <f>SUM(B19:B25)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6"/>
  <sheetViews>
    <sheetView tabSelected="1" topLeftCell="A43" workbookViewId="0">
      <selection activeCell="C92" sqref="C92"/>
    </sheetView>
  </sheetViews>
  <sheetFormatPr baseColWidth="10" defaultRowHeight="15"/>
  <cols>
    <col min="1" max="1" width="13.85546875" style="12" customWidth="1"/>
    <col min="2" max="2" width="11.7109375" style="12" customWidth="1"/>
    <col min="3" max="4" width="11.42578125" style="12"/>
    <col min="5" max="5" width="13.85546875" style="12" customWidth="1"/>
    <col min="6" max="8" width="11.42578125" style="12"/>
    <col min="9" max="9" width="14.5703125" style="12" customWidth="1"/>
    <col min="10" max="10" width="11.42578125" style="12"/>
    <col min="11" max="11" width="12" style="12" customWidth="1"/>
    <col min="12" max="16" width="11.42578125" style="12"/>
    <col min="17" max="17" width="11.42578125" style="12" customWidth="1"/>
    <col min="18" max="16384" width="11.42578125" style="12"/>
  </cols>
  <sheetData>
    <row r="1" spans="1:15" ht="23.25">
      <c r="A1" s="46" t="s">
        <v>128</v>
      </c>
    </row>
    <row r="3" spans="1:15" ht="15.75">
      <c r="A3" s="12" t="s">
        <v>156</v>
      </c>
      <c r="C3" s="43" t="s">
        <v>161</v>
      </c>
    </row>
    <row r="4" spans="1:15">
      <c r="A4" s="12" t="s">
        <v>95</v>
      </c>
    </row>
    <row r="5" spans="1:15" ht="15.75">
      <c r="A5" s="12" t="s">
        <v>157</v>
      </c>
    </row>
    <row r="6" spans="1:15">
      <c r="A6" s="12" t="s">
        <v>96</v>
      </c>
    </row>
    <row r="7" spans="1:15">
      <c r="A7" s="12" t="s">
        <v>97</v>
      </c>
    </row>
    <row r="8" spans="1:15">
      <c r="A8" s="12" t="s">
        <v>98</v>
      </c>
    </row>
    <row r="10" spans="1:15">
      <c r="O10" s="47"/>
    </row>
    <row r="11" spans="1:15" ht="15.75">
      <c r="A11" s="43" t="s">
        <v>114</v>
      </c>
      <c r="O11" s="47"/>
    </row>
    <row r="12" spans="1:15" ht="15.75" thickBot="1">
      <c r="O12" s="47"/>
    </row>
    <row r="13" spans="1:15" ht="15.75">
      <c r="A13" s="24" t="s">
        <v>115</v>
      </c>
      <c r="B13" s="25"/>
      <c r="C13" s="26" t="s">
        <v>27</v>
      </c>
      <c r="D13" s="33"/>
      <c r="G13" s="24" t="s">
        <v>121</v>
      </c>
      <c r="H13" s="25"/>
      <c r="I13" s="26" t="s">
        <v>27</v>
      </c>
      <c r="J13" s="33"/>
      <c r="O13" s="47"/>
    </row>
    <row r="14" spans="1:15">
      <c r="A14" s="27"/>
      <c r="B14" s="28"/>
      <c r="C14" s="29" t="s">
        <v>116</v>
      </c>
      <c r="D14" s="34">
        <v>0.8</v>
      </c>
      <c r="G14" s="27"/>
      <c r="H14" s="28"/>
      <c r="I14" s="29" t="s">
        <v>116</v>
      </c>
      <c r="J14" s="34">
        <v>0.8</v>
      </c>
      <c r="O14" s="47"/>
    </row>
    <row r="15" spans="1:15">
      <c r="A15" s="27"/>
      <c r="B15" s="28"/>
      <c r="C15" s="29" t="s">
        <v>117</v>
      </c>
      <c r="D15" s="34">
        <v>1</v>
      </c>
      <c r="G15" s="27"/>
      <c r="H15" s="28"/>
      <c r="I15" s="29" t="s">
        <v>117</v>
      </c>
      <c r="J15" s="34">
        <v>1</v>
      </c>
      <c r="O15" s="47"/>
    </row>
    <row r="16" spans="1:15" ht="15.75" thickBot="1">
      <c r="A16" s="30"/>
      <c r="B16" s="31" t="s">
        <v>118</v>
      </c>
      <c r="C16" s="32"/>
      <c r="D16" s="36">
        <f>D13*D14*D15</f>
        <v>0</v>
      </c>
      <c r="G16" s="30"/>
      <c r="H16" s="31" t="s">
        <v>122</v>
      </c>
      <c r="I16" s="32"/>
      <c r="J16" s="36">
        <f>J13*J14*J15</f>
        <v>0</v>
      </c>
      <c r="O16" s="47"/>
    </row>
    <row r="17" spans="1:15">
      <c r="O17" s="47"/>
    </row>
    <row r="18" spans="1:15" ht="15.75" thickBot="1">
      <c r="O18" s="47"/>
    </row>
    <row r="19" spans="1:15" ht="15.75">
      <c r="A19" s="24" t="s">
        <v>119</v>
      </c>
      <c r="B19" s="25"/>
      <c r="C19" s="26" t="s">
        <v>27</v>
      </c>
      <c r="D19" s="33"/>
      <c r="G19" s="24" t="s">
        <v>124</v>
      </c>
      <c r="H19" s="25"/>
      <c r="I19" s="26" t="s">
        <v>27</v>
      </c>
      <c r="J19" s="33"/>
      <c r="O19" s="47"/>
    </row>
    <row r="20" spans="1:15">
      <c r="A20" s="27"/>
      <c r="B20" s="28"/>
      <c r="C20" s="29" t="s">
        <v>116</v>
      </c>
      <c r="D20" s="34">
        <v>0.8</v>
      </c>
      <c r="G20" s="27"/>
      <c r="H20" s="28"/>
      <c r="I20" s="29" t="s">
        <v>116</v>
      </c>
      <c r="J20" s="34">
        <v>0.8</v>
      </c>
      <c r="O20" s="47"/>
    </row>
    <row r="21" spans="1:15">
      <c r="A21" s="27"/>
      <c r="B21" s="28"/>
      <c r="C21" s="29" t="s">
        <v>117</v>
      </c>
      <c r="D21" s="34">
        <v>1</v>
      </c>
      <c r="G21" s="27"/>
      <c r="H21" s="28"/>
      <c r="I21" s="29" t="s">
        <v>117</v>
      </c>
      <c r="J21" s="34">
        <v>1</v>
      </c>
      <c r="O21" s="47"/>
    </row>
    <row r="22" spans="1:15" ht="15.75" thickBot="1">
      <c r="A22" s="30"/>
      <c r="B22" s="31" t="s">
        <v>120</v>
      </c>
      <c r="C22" s="35"/>
      <c r="D22" s="36">
        <f>D19*D20*D21</f>
        <v>0</v>
      </c>
      <c r="G22" s="30"/>
      <c r="H22" s="31" t="s">
        <v>123</v>
      </c>
      <c r="I22" s="35"/>
      <c r="J22" s="36">
        <f>J19*J20*J21</f>
        <v>0</v>
      </c>
      <c r="O22" s="47"/>
    </row>
    <row r="23" spans="1:15">
      <c r="O23" s="47"/>
    </row>
    <row r="24" spans="1:15">
      <c r="O24" s="47"/>
    </row>
    <row r="25" spans="1:15">
      <c r="O25" s="47"/>
    </row>
    <row r="26" spans="1:15">
      <c r="O26" s="47"/>
    </row>
    <row r="27" spans="1:15" ht="15.75" thickBot="1"/>
    <row r="28" spans="1:15" ht="15.75">
      <c r="A28" s="37" t="s">
        <v>99</v>
      </c>
      <c r="B28" s="38" t="s">
        <v>112</v>
      </c>
      <c r="C28" s="38" t="s">
        <v>20</v>
      </c>
      <c r="D28" s="38" t="s">
        <v>158</v>
      </c>
      <c r="E28" s="38" t="s">
        <v>21</v>
      </c>
      <c r="F28" s="38" t="s">
        <v>22</v>
      </c>
      <c r="G28" s="38" t="s">
        <v>23</v>
      </c>
      <c r="H28" s="38" t="s">
        <v>159</v>
      </c>
      <c r="I28" s="38" t="s">
        <v>25</v>
      </c>
      <c r="J28" s="38" t="s">
        <v>26</v>
      </c>
      <c r="K28" s="39" t="s">
        <v>24</v>
      </c>
    </row>
    <row r="29" spans="1:15" ht="15.75">
      <c r="A29" s="40" t="s">
        <v>100</v>
      </c>
      <c r="B29" s="15">
        <v>31</v>
      </c>
      <c r="C29" s="15">
        <f>4078/60</f>
        <v>67.966666666666669</v>
      </c>
      <c r="D29" s="15">
        <f t="shared" ref="D29:D30" si="0">0.83*C29</f>
        <v>56.412333333333329</v>
      </c>
      <c r="E29" s="15">
        <f>0.33*C29</f>
        <v>22.429000000000002</v>
      </c>
      <c r="F29" s="15">
        <f>0.83*C29</f>
        <v>56.412333333333329</v>
      </c>
      <c r="G29" s="15">
        <f t="shared" ref="G29:G40" si="1">C29*$D$22</f>
        <v>0</v>
      </c>
      <c r="H29" s="15">
        <f>D29*$J$22</f>
        <v>0</v>
      </c>
      <c r="I29" s="15">
        <f t="shared" ref="I29:I40" si="2">E29*$D$16</f>
        <v>0</v>
      </c>
      <c r="J29" s="15">
        <f>F29*$J$16</f>
        <v>0</v>
      </c>
      <c r="K29" s="16">
        <f>SUM(G29:J29)</f>
        <v>0</v>
      </c>
    </row>
    <row r="30" spans="1:15" ht="15.75">
      <c r="A30" s="40" t="s">
        <v>101</v>
      </c>
      <c r="B30" s="15">
        <v>28</v>
      </c>
      <c r="C30" s="15">
        <f>4959/60</f>
        <v>82.65</v>
      </c>
      <c r="D30" s="15">
        <f t="shared" si="0"/>
        <v>68.599500000000006</v>
      </c>
      <c r="E30" s="15">
        <f t="shared" ref="E30:E40" si="3">0.33*C30</f>
        <v>27.274500000000003</v>
      </c>
      <c r="F30" s="15">
        <f t="shared" ref="F30:F40" si="4">0.83*C30</f>
        <v>68.599500000000006</v>
      </c>
      <c r="G30" s="15">
        <f t="shared" si="1"/>
        <v>0</v>
      </c>
      <c r="H30" s="15">
        <f t="shared" ref="H30:H40" si="5">D30*$J$22</f>
        <v>0</v>
      </c>
      <c r="I30" s="15">
        <f t="shared" si="2"/>
        <v>0</v>
      </c>
      <c r="J30" s="15">
        <f t="shared" ref="J30:J40" si="6">F30*$J$16</f>
        <v>0</v>
      </c>
      <c r="K30" s="16">
        <f t="shared" ref="K30:K40" si="7">SUM(G30:J30)</f>
        <v>0</v>
      </c>
    </row>
    <row r="31" spans="1:15" ht="15.75">
      <c r="A31" s="40" t="s">
        <v>102</v>
      </c>
      <c r="B31" s="15">
        <v>31</v>
      </c>
      <c r="C31" s="15">
        <f>5649/60</f>
        <v>94.15</v>
      </c>
      <c r="D31" s="15">
        <f>0.83*C31</f>
        <v>78.144500000000008</v>
      </c>
      <c r="E31" s="15">
        <f t="shared" si="3"/>
        <v>31.069500000000005</v>
      </c>
      <c r="F31" s="15">
        <f t="shared" si="4"/>
        <v>78.144500000000008</v>
      </c>
      <c r="G31" s="15">
        <f t="shared" si="1"/>
        <v>0</v>
      </c>
      <c r="H31" s="15">
        <f t="shared" si="5"/>
        <v>0</v>
      </c>
      <c r="I31" s="15">
        <f t="shared" si="2"/>
        <v>0</v>
      </c>
      <c r="J31" s="15">
        <f t="shared" si="6"/>
        <v>0</v>
      </c>
      <c r="K31" s="16">
        <f t="shared" si="7"/>
        <v>0</v>
      </c>
    </row>
    <row r="32" spans="1:15" ht="15.75">
      <c r="A32" s="40" t="s">
        <v>103</v>
      </c>
      <c r="B32" s="15">
        <v>30</v>
      </c>
      <c r="C32" s="15">
        <f>7141/60</f>
        <v>119.01666666666667</v>
      </c>
      <c r="D32" s="15">
        <f t="shared" ref="D32:D40" si="8">0.83*C32</f>
        <v>98.783833333333334</v>
      </c>
      <c r="E32" s="15">
        <f t="shared" si="3"/>
        <v>39.275500000000001</v>
      </c>
      <c r="F32" s="15">
        <f t="shared" si="4"/>
        <v>98.783833333333334</v>
      </c>
      <c r="G32" s="15">
        <f t="shared" si="1"/>
        <v>0</v>
      </c>
      <c r="H32" s="15">
        <f t="shared" si="5"/>
        <v>0</v>
      </c>
      <c r="I32" s="15">
        <f t="shared" si="2"/>
        <v>0</v>
      </c>
      <c r="J32" s="15">
        <f t="shared" si="6"/>
        <v>0</v>
      </c>
      <c r="K32" s="16">
        <f t="shared" si="7"/>
        <v>0</v>
      </c>
    </row>
    <row r="33" spans="1:13" ht="15.75">
      <c r="A33" s="40" t="s">
        <v>104</v>
      </c>
      <c r="B33" s="15">
        <v>31</v>
      </c>
      <c r="C33" s="15">
        <f>7692/60</f>
        <v>128.19999999999999</v>
      </c>
      <c r="D33" s="15">
        <f t="shared" si="8"/>
        <v>106.40599999999999</v>
      </c>
      <c r="E33" s="15">
        <f t="shared" si="3"/>
        <v>42.305999999999997</v>
      </c>
      <c r="F33" s="15">
        <f t="shared" si="4"/>
        <v>106.40599999999999</v>
      </c>
      <c r="G33" s="15">
        <f t="shared" si="1"/>
        <v>0</v>
      </c>
      <c r="H33" s="15">
        <f t="shared" si="5"/>
        <v>0</v>
      </c>
      <c r="I33" s="15">
        <f t="shared" si="2"/>
        <v>0</v>
      </c>
      <c r="J33" s="15">
        <f t="shared" si="6"/>
        <v>0</v>
      </c>
      <c r="K33" s="16">
        <f t="shared" si="7"/>
        <v>0</v>
      </c>
    </row>
    <row r="34" spans="1:13" ht="15.75">
      <c r="A34" s="40" t="s">
        <v>105</v>
      </c>
      <c r="B34" s="15">
        <v>30</v>
      </c>
      <c r="C34" s="15">
        <f>9251/60</f>
        <v>154.18333333333334</v>
      </c>
      <c r="D34" s="15">
        <f t="shared" si="8"/>
        <v>127.97216666666667</v>
      </c>
      <c r="E34" s="15">
        <f t="shared" si="3"/>
        <v>50.880500000000005</v>
      </c>
      <c r="F34" s="15">
        <f t="shared" si="4"/>
        <v>127.97216666666667</v>
      </c>
      <c r="G34" s="15">
        <f t="shared" si="1"/>
        <v>0</v>
      </c>
      <c r="H34" s="15">
        <f t="shared" si="5"/>
        <v>0</v>
      </c>
      <c r="I34" s="15">
        <f t="shared" si="2"/>
        <v>0</v>
      </c>
      <c r="J34" s="15">
        <f t="shared" si="6"/>
        <v>0</v>
      </c>
      <c r="K34" s="16">
        <f t="shared" si="7"/>
        <v>0</v>
      </c>
    </row>
    <row r="35" spans="1:13" ht="15.75">
      <c r="A35" s="40" t="s">
        <v>106</v>
      </c>
      <c r="B35" s="15">
        <v>31</v>
      </c>
      <c r="C35" s="15">
        <f>8758/60</f>
        <v>145.96666666666667</v>
      </c>
      <c r="D35" s="15">
        <f t="shared" si="8"/>
        <v>121.15233333333333</v>
      </c>
      <c r="E35" s="15">
        <f t="shared" si="3"/>
        <v>48.169000000000004</v>
      </c>
      <c r="F35" s="15">
        <f t="shared" si="4"/>
        <v>121.15233333333333</v>
      </c>
      <c r="G35" s="15">
        <f t="shared" si="1"/>
        <v>0</v>
      </c>
      <c r="H35" s="15">
        <f t="shared" si="5"/>
        <v>0</v>
      </c>
      <c r="I35" s="15">
        <f t="shared" si="2"/>
        <v>0</v>
      </c>
      <c r="J35" s="15">
        <f t="shared" si="6"/>
        <v>0</v>
      </c>
      <c r="K35" s="16">
        <f t="shared" si="7"/>
        <v>0</v>
      </c>
    </row>
    <row r="36" spans="1:13" ht="15.75">
      <c r="A36" s="40" t="s">
        <v>107</v>
      </c>
      <c r="B36" s="15">
        <v>31</v>
      </c>
      <c r="C36" s="15">
        <f>8513/60</f>
        <v>141.88333333333333</v>
      </c>
      <c r="D36" s="15">
        <f t="shared" si="8"/>
        <v>117.76316666666665</v>
      </c>
      <c r="E36" s="15">
        <f t="shared" si="3"/>
        <v>46.8215</v>
      </c>
      <c r="F36" s="15">
        <f t="shared" si="4"/>
        <v>117.76316666666665</v>
      </c>
      <c r="G36" s="15">
        <f t="shared" si="1"/>
        <v>0</v>
      </c>
      <c r="H36" s="15">
        <f t="shared" si="5"/>
        <v>0</v>
      </c>
      <c r="I36" s="15">
        <f t="shared" si="2"/>
        <v>0</v>
      </c>
      <c r="J36" s="15">
        <f t="shared" si="6"/>
        <v>0</v>
      </c>
      <c r="K36" s="16">
        <f t="shared" si="7"/>
        <v>0</v>
      </c>
    </row>
    <row r="37" spans="1:13" ht="15.75">
      <c r="A37" s="40" t="s">
        <v>108</v>
      </c>
      <c r="B37" s="15">
        <v>30</v>
      </c>
      <c r="C37" s="15">
        <f>8723/60</f>
        <v>145.38333333333333</v>
      </c>
      <c r="D37" s="15">
        <f t="shared" si="8"/>
        <v>120.66816666666665</v>
      </c>
      <c r="E37" s="15">
        <f t="shared" si="3"/>
        <v>47.976500000000001</v>
      </c>
      <c r="F37" s="15">
        <f t="shared" si="4"/>
        <v>120.66816666666665</v>
      </c>
      <c r="G37" s="15">
        <f t="shared" si="1"/>
        <v>0</v>
      </c>
      <c r="H37" s="15">
        <f t="shared" si="5"/>
        <v>0</v>
      </c>
      <c r="I37" s="15">
        <f t="shared" si="2"/>
        <v>0</v>
      </c>
      <c r="J37" s="15">
        <f t="shared" si="6"/>
        <v>0</v>
      </c>
      <c r="K37" s="16">
        <f t="shared" si="7"/>
        <v>0</v>
      </c>
    </row>
    <row r="38" spans="1:13" ht="15.75">
      <c r="A38" s="40" t="s">
        <v>109</v>
      </c>
      <c r="B38" s="15">
        <v>31</v>
      </c>
      <c r="C38" s="15">
        <f>6251/60</f>
        <v>104.18333333333334</v>
      </c>
      <c r="D38" s="15">
        <f t="shared" si="8"/>
        <v>86.472166666666666</v>
      </c>
      <c r="E38" s="15">
        <f t="shared" si="3"/>
        <v>34.380500000000005</v>
      </c>
      <c r="F38" s="15">
        <f t="shared" si="4"/>
        <v>86.472166666666666</v>
      </c>
      <c r="G38" s="15">
        <f t="shared" si="1"/>
        <v>0</v>
      </c>
      <c r="H38" s="15">
        <f t="shared" si="5"/>
        <v>0</v>
      </c>
      <c r="I38" s="15">
        <f t="shared" si="2"/>
        <v>0</v>
      </c>
      <c r="J38" s="15">
        <f t="shared" si="6"/>
        <v>0</v>
      </c>
      <c r="K38" s="16">
        <f t="shared" si="7"/>
        <v>0</v>
      </c>
    </row>
    <row r="39" spans="1:13" ht="15.75">
      <c r="A39" s="40" t="s">
        <v>110</v>
      </c>
      <c r="B39" s="15">
        <v>30</v>
      </c>
      <c r="C39" s="15">
        <f>5534/60</f>
        <v>92.233333333333334</v>
      </c>
      <c r="D39" s="15">
        <f t="shared" si="8"/>
        <v>76.553666666666658</v>
      </c>
      <c r="E39" s="15">
        <f t="shared" si="3"/>
        <v>30.437000000000001</v>
      </c>
      <c r="F39" s="15">
        <f t="shared" si="4"/>
        <v>76.553666666666658</v>
      </c>
      <c r="G39" s="15">
        <f t="shared" si="1"/>
        <v>0</v>
      </c>
      <c r="H39" s="15">
        <f t="shared" si="5"/>
        <v>0</v>
      </c>
      <c r="I39" s="15">
        <f t="shared" si="2"/>
        <v>0</v>
      </c>
      <c r="J39" s="15">
        <f t="shared" si="6"/>
        <v>0</v>
      </c>
      <c r="K39" s="16">
        <f t="shared" si="7"/>
        <v>0</v>
      </c>
    </row>
    <row r="40" spans="1:13" ht="16.5" thickBot="1">
      <c r="A40" s="41" t="s">
        <v>111</v>
      </c>
      <c r="B40" s="19">
        <v>31</v>
      </c>
      <c r="C40" s="19">
        <f>6499/60</f>
        <v>108.31666666666666</v>
      </c>
      <c r="D40" s="19">
        <f t="shared" si="8"/>
        <v>89.902833333333319</v>
      </c>
      <c r="E40" s="19">
        <f t="shared" si="3"/>
        <v>35.744500000000002</v>
      </c>
      <c r="F40" s="19">
        <f t="shared" si="4"/>
        <v>89.902833333333319</v>
      </c>
      <c r="G40" s="19">
        <f t="shared" si="1"/>
        <v>0</v>
      </c>
      <c r="H40" s="19">
        <f t="shared" si="5"/>
        <v>0</v>
      </c>
      <c r="I40" s="19">
        <f t="shared" si="2"/>
        <v>0</v>
      </c>
      <c r="J40" s="19">
        <f t="shared" si="6"/>
        <v>0</v>
      </c>
      <c r="K40" s="20">
        <f t="shared" si="7"/>
        <v>0</v>
      </c>
    </row>
    <row r="42" spans="1:13">
      <c r="K42" s="42" t="s">
        <v>160</v>
      </c>
      <c r="L42" s="48">
        <f>SUM(K29:K40)</f>
        <v>0</v>
      </c>
      <c r="M42" s="12" t="s">
        <v>167</v>
      </c>
    </row>
    <row r="43" spans="1:13">
      <c r="K43" s="42"/>
      <c r="L43" s="48"/>
    </row>
    <row r="44" spans="1:13">
      <c r="K44" s="42"/>
      <c r="L44" s="48"/>
    </row>
    <row r="46" spans="1:13" ht="28.5">
      <c r="A46" s="13" t="s">
        <v>162</v>
      </c>
    </row>
    <row r="48" spans="1:13" ht="15.75">
      <c r="A48" s="12" t="s">
        <v>163</v>
      </c>
      <c r="B48" s="43" t="s">
        <v>127</v>
      </c>
    </row>
    <row r="50" spans="1:9" ht="15.75">
      <c r="A50" s="12" t="s">
        <v>164</v>
      </c>
      <c r="D50" s="45" t="s">
        <v>166</v>
      </c>
    </row>
    <row r="51" spans="1:9">
      <c r="A51" s="12" t="s">
        <v>165</v>
      </c>
    </row>
    <row r="52" spans="1:9" ht="15.75" thickBot="1"/>
    <row r="53" spans="1:9" ht="15.75">
      <c r="A53" s="37" t="s">
        <v>99</v>
      </c>
      <c r="B53" s="38" t="s">
        <v>112</v>
      </c>
      <c r="C53" s="38" t="s">
        <v>24</v>
      </c>
      <c r="D53" s="38" t="s">
        <v>28</v>
      </c>
      <c r="E53" s="39" t="s">
        <v>29</v>
      </c>
    </row>
    <row r="54" spans="1:9" ht="15.75">
      <c r="A54" s="40" t="s">
        <v>100</v>
      </c>
      <c r="B54" s="15">
        <v>31</v>
      </c>
      <c r="C54" s="15">
        <f t="shared" ref="C54:C65" si="9">K29</f>
        <v>0</v>
      </c>
      <c r="D54" s="15">
        <f>4*$E$50*24*B54/1000</f>
        <v>0</v>
      </c>
      <c r="E54" s="16">
        <f>C54+D54</f>
        <v>0</v>
      </c>
    </row>
    <row r="55" spans="1:9" ht="15.75">
      <c r="A55" s="40" t="s">
        <v>101</v>
      </c>
      <c r="B55" s="15">
        <v>28</v>
      </c>
      <c r="C55" s="15">
        <f t="shared" si="9"/>
        <v>0</v>
      </c>
      <c r="D55" s="15">
        <f t="shared" ref="D55:D65" si="10">4*$E$50*24*B55/1000</f>
        <v>0</v>
      </c>
      <c r="E55" s="16">
        <f t="shared" ref="E55:E65" si="11">C55+D55</f>
        <v>0</v>
      </c>
    </row>
    <row r="56" spans="1:9" ht="15.75">
      <c r="A56" s="40" t="s">
        <v>102</v>
      </c>
      <c r="B56" s="15">
        <v>31</v>
      </c>
      <c r="C56" s="15">
        <f t="shared" si="9"/>
        <v>0</v>
      </c>
      <c r="D56" s="15">
        <f t="shared" si="10"/>
        <v>0</v>
      </c>
      <c r="E56" s="16">
        <f t="shared" si="11"/>
        <v>0</v>
      </c>
    </row>
    <row r="57" spans="1:9" ht="15.75">
      <c r="A57" s="40" t="s">
        <v>103</v>
      </c>
      <c r="B57" s="15">
        <v>30</v>
      </c>
      <c r="C57" s="15">
        <f t="shared" si="9"/>
        <v>0</v>
      </c>
      <c r="D57" s="15">
        <f t="shared" si="10"/>
        <v>0</v>
      </c>
      <c r="E57" s="16">
        <f t="shared" si="11"/>
        <v>0</v>
      </c>
      <c r="F57" s="44"/>
      <c r="G57" s="45" t="s">
        <v>171</v>
      </c>
      <c r="H57" s="42">
        <f>SUM(C54:C65)</f>
        <v>0</v>
      </c>
      <c r="I57" s="42" t="s">
        <v>167</v>
      </c>
    </row>
    <row r="58" spans="1:9" ht="15.75">
      <c r="A58" s="40" t="s">
        <v>104</v>
      </c>
      <c r="B58" s="15">
        <v>31</v>
      </c>
      <c r="C58" s="15">
        <f t="shared" si="9"/>
        <v>0</v>
      </c>
      <c r="D58" s="15">
        <f t="shared" si="10"/>
        <v>0</v>
      </c>
      <c r="E58" s="16">
        <f t="shared" si="11"/>
        <v>0</v>
      </c>
      <c r="F58" s="42"/>
      <c r="G58" s="42"/>
      <c r="H58" s="42" t="e">
        <f>H57/E50</f>
        <v>#DIV/0!</v>
      </c>
      <c r="I58" s="42" t="s">
        <v>168</v>
      </c>
    </row>
    <row r="59" spans="1:9" ht="15.75">
      <c r="A59" s="40" t="s">
        <v>105</v>
      </c>
      <c r="B59" s="15">
        <v>30</v>
      </c>
      <c r="C59" s="15">
        <f t="shared" si="9"/>
        <v>0</v>
      </c>
      <c r="D59" s="15">
        <f t="shared" si="10"/>
        <v>0</v>
      </c>
      <c r="E59" s="16">
        <f t="shared" si="11"/>
        <v>0</v>
      </c>
      <c r="F59" s="42"/>
      <c r="G59" s="45" t="s">
        <v>170</v>
      </c>
      <c r="H59" s="42">
        <f>SUM(D54:D65)</f>
        <v>0</v>
      </c>
      <c r="I59" s="42" t="s">
        <v>167</v>
      </c>
    </row>
    <row r="60" spans="1:9" ht="15.75">
      <c r="A60" s="40" t="s">
        <v>106</v>
      </c>
      <c r="B60" s="15">
        <v>31</v>
      </c>
      <c r="C60" s="15">
        <f t="shared" si="9"/>
        <v>0</v>
      </c>
      <c r="D60" s="15">
        <f t="shared" si="10"/>
        <v>0</v>
      </c>
      <c r="E60" s="16">
        <f t="shared" si="11"/>
        <v>0</v>
      </c>
      <c r="F60" s="42"/>
      <c r="G60" s="42"/>
      <c r="H60" s="42" t="e">
        <f>H58/E50</f>
        <v>#DIV/0!</v>
      </c>
      <c r="I60" s="42" t="s">
        <v>168</v>
      </c>
    </row>
    <row r="61" spans="1:9" ht="15.75">
      <c r="A61" s="40" t="s">
        <v>107</v>
      </c>
      <c r="B61" s="15">
        <v>31</v>
      </c>
      <c r="C61" s="15">
        <f t="shared" si="9"/>
        <v>0</v>
      </c>
      <c r="D61" s="15">
        <f t="shared" si="10"/>
        <v>0</v>
      </c>
      <c r="E61" s="16">
        <f t="shared" si="11"/>
        <v>0</v>
      </c>
      <c r="F61" s="42"/>
      <c r="G61" s="45" t="s">
        <v>169</v>
      </c>
      <c r="H61" s="42">
        <f>SUM(E54:E65)</f>
        <v>0</v>
      </c>
      <c r="I61" s="42" t="s">
        <v>167</v>
      </c>
    </row>
    <row r="62" spans="1:9" ht="15.75">
      <c r="A62" s="40" t="s">
        <v>108</v>
      </c>
      <c r="B62" s="15">
        <v>30</v>
      </c>
      <c r="C62" s="15">
        <f t="shared" si="9"/>
        <v>0</v>
      </c>
      <c r="D62" s="15">
        <f t="shared" si="10"/>
        <v>0</v>
      </c>
      <c r="E62" s="16">
        <f t="shared" si="11"/>
        <v>0</v>
      </c>
      <c r="F62" s="42"/>
      <c r="G62" s="42"/>
      <c r="H62" s="42" t="e">
        <f>H61/E50</f>
        <v>#DIV/0!</v>
      </c>
      <c r="I62" s="42" t="s">
        <v>168</v>
      </c>
    </row>
    <row r="63" spans="1:9" ht="15.75">
      <c r="A63" s="40" t="s">
        <v>109</v>
      </c>
      <c r="B63" s="15">
        <v>31</v>
      </c>
      <c r="C63" s="15">
        <f t="shared" si="9"/>
        <v>0</v>
      </c>
      <c r="D63" s="15">
        <f t="shared" si="10"/>
        <v>0</v>
      </c>
      <c r="E63" s="16">
        <f t="shared" si="11"/>
        <v>0</v>
      </c>
    </row>
    <row r="64" spans="1:9" ht="15.75">
      <c r="A64" s="40" t="s">
        <v>110</v>
      </c>
      <c r="B64" s="15">
        <v>30</v>
      </c>
      <c r="C64" s="15">
        <f t="shared" si="9"/>
        <v>0</v>
      </c>
      <c r="D64" s="15">
        <f t="shared" si="10"/>
        <v>0</v>
      </c>
      <c r="E64" s="16">
        <f t="shared" si="11"/>
        <v>0</v>
      </c>
    </row>
    <row r="65" spans="1:11" ht="16.5" thickBot="1">
      <c r="A65" s="41" t="s">
        <v>111</v>
      </c>
      <c r="B65" s="19">
        <v>31</v>
      </c>
      <c r="C65" s="15">
        <f t="shared" si="9"/>
        <v>0</v>
      </c>
      <c r="D65" s="15">
        <f t="shared" si="10"/>
        <v>0</v>
      </c>
      <c r="E65" s="16">
        <f t="shared" si="11"/>
        <v>0</v>
      </c>
    </row>
    <row r="69" spans="1:11" ht="28.5">
      <c r="A69" s="13" t="s">
        <v>129</v>
      </c>
    </row>
    <row r="71" spans="1:11" ht="15.75">
      <c r="A71" s="12" t="s">
        <v>172</v>
      </c>
      <c r="C71" s="43" t="s">
        <v>125</v>
      </c>
    </row>
    <row r="73" spans="1:11" ht="15.75">
      <c r="A73" s="12" t="s">
        <v>195</v>
      </c>
      <c r="J73" s="45" t="s">
        <v>173</v>
      </c>
      <c r="K73" s="12" t="e">
        <f>K74+K75</f>
        <v>#DIV/0!</v>
      </c>
    </row>
    <row r="74" spans="1:11" ht="15.75">
      <c r="A74" s="43" t="s">
        <v>30</v>
      </c>
      <c r="J74" s="45" t="s">
        <v>174</v>
      </c>
      <c r="K74" s="12" t="e">
        <f>'Calculus Ubat'!N31</f>
        <v>#DIV/0!</v>
      </c>
    </row>
    <row r="75" spans="1:11" ht="15.75">
      <c r="A75" s="43" t="s">
        <v>126</v>
      </c>
      <c r="E75" s="12" t="s">
        <v>176</v>
      </c>
      <c r="G75" s="12" t="s">
        <v>175</v>
      </c>
      <c r="J75" s="45" t="s">
        <v>177</v>
      </c>
      <c r="K75" s="12">
        <f>0.34*0.5*I75</f>
        <v>0</v>
      </c>
    </row>
    <row r="76" spans="1:11">
      <c r="A76" s="12" t="s">
        <v>190</v>
      </c>
    </row>
    <row r="77" spans="1:11">
      <c r="A77" s="12" t="s">
        <v>191</v>
      </c>
    </row>
    <row r="78" spans="1:11" ht="15.75" thickBot="1"/>
    <row r="79" spans="1:11" ht="15.75">
      <c r="A79" s="37" t="s">
        <v>99</v>
      </c>
      <c r="B79" s="38" t="s">
        <v>112</v>
      </c>
      <c r="C79" s="38" t="s">
        <v>113</v>
      </c>
      <c r="D79" s="38" t="s">
        <v>130</v>
      </c>
      <c r="E79" s="39" t="s">
        <v>31</v>
      </c>
    </row>
    <row r="80" spans="1:11" ht="15.75">
      <c r="A80" s="40" t="s">
        <v>100</v>
      </c>
      <c r="B80" s="15">
        <v>31</v>
      </c>
      <c r="C80" s="15">
        <v>8</v>
      </c>
      <c r="D80" s="15">
        <f>21</f>
        <v>21</v>
      </c>
      <c r="E80" s="16" t="e">
        <f>$K$73*(D80-C80)*24*B80/1000</f>
        <v>#DIV/0!</v>
      </c>
    </row>
    <row r="81" spans="1:9" ht="15.75">
      <c r="A81" s="40" t="s">
        <v>101</v>
      </c>
      <c r="B81" s="15">
        <v>28</v>
      </c>
      <c r="C81" s="15">
        <v>7</v>
      </c>
      <c r="D81" s="15">
        <f>21</f>
        <v>21</v>
      </c>
      <c r="E81" s="16" t="e">
        <f t="shared" ref="E81:E91" si="12">$K$73*(D81-C81)*24*B81/1000</f>
        <v>#DIV/0!</v>
      </c>
    </row>
    <row r="82" spans="1:9" ht="15.75">
      <c r="A82" s="40" t="s">
        <v>102</v>
      </c>
      <c r="B82" s="15">
        <v>31</v>
      </c>
      <c r="C82" s="15">
        <v>10</v>
      </c>
      <c r="D82" s="15">
        <f>21</f>
        <v>21</v>
      </c>
      <c r="E82" s="16" t="e">
        <f t="shared" si="12"/>
        <v>#DIV/0!</v>
      </c>
      <c r="G82" s="42" t="s">
        <v>178</v>
      </c>
      <c r="H82" s="12" t="e">
        <f>SUM(E80:E91)</f>
        <v>#DIV/0!</v>
      </c>
      <c r="I82" s="12" t="s">
        <v>167</v>
      </c>
    </row>
    <row r="83" spans="1:9" ht="15.75">
      <c r="A83" s="40" t="s">
        <v>103</v>
      </c>
      <c r="B83" s="15">
        <v>30</v>
      </c>
      <c r="C83" s="15">
        <v>14</v>
      </c>
      <c r="D83" s="15">
        <f>21</f>
        <v>21</v>
      </c>
      <c r="E83" s="16" t="e">
        <f t="shared" si="12"/>
        <v>#DIV/0!</v>
      </c>
      <c r="H83" s="12" t="e">
        <f>H82/E50</f>
        <v>#DIV/0!</v>
      </c>
      <c r="I83" s="12" t="s">
        <v>168</v>
      </c>
    </row>
    <row r="84" spans="1:9" ht="15.75">
      <c r="A84" s="40" t="s">
        <v>104</v>
      </c>
      <c r="B84" s="15">
        <v>31</v>
      </c>
      <c r="C84" s="15">
        <v>18</v>
      </c>
      <c r="D84" s="15">
        <f>21</f>
        <v>21</v>
      </c>
      <c r="E84" s="16" t="e">
        <f t="shared" si="12"/>
        <v>#DIV/0!</v>
      </c>
    </row>
    <row r="85" spans="1:9" ht="15.75">
      <c r="A85" s="40" t="s">
        <v>105</v>
      </c>
      <c r="B85" s="15">
        <v>30</v>
      </c>
      <c r="C85" s="15">
        <v>21</v>
      </c>
      <c r="D85" s="15">
        <f>21</f>
        <v>21</v>
      </c>
      <c r="E85" s="16" t="e">
        <f t="shared" si="12"/>
        <v>#DIV/0!</v>
      </c>
    </row>
    <row r="86" spans="1:9" ht="15.75">
      <c r="A86" s="40" t="s">
        <v>106</v>
      </c>
      <c r="B86" s="15">
        <v>31</v>
      </c>
      <c r="C86" s="15">
        <v>22</v>
      </c>
      <c r="D86" s="15">
        <f>21</f>
        <v>21</v>
      </c>
      <c r="E86" s="16" t="e">
        <f t="shared" si="12"/>
        <v>#DIV/0!</v>
      </c>
    </row>
    <row r="87" spans="1:9" ht="15.75">
      <c r="A87" s="40" t="s">
        <v>107</v>
      </c>
      <c r="B87" s="15">
        <v>31</v>
      </c>
      <c r="C87" s="15">
        <v>23</v>
      </c>
      <c r="D87" s="15">
        <f>21</f>
        <v>21</v>
      </c>
      <c r="E87" s="16" t="e">
        <f t="shared" si="12"/>
        <v>#DIV/0!</v>
      </c>
    </row>
    <row r="88" spans="1:9" ht="15.75">
      <c r="A88" s="40" t="s">
        <v>108</v>
      </c>
      <c r="B88" s="15">
        <v>30</v>
      </c>
      <c r="C88" s="15">
        <v>20</v>
      </c>
      <c r="D88" s="15">
        <f>21</f>
        <v>21</v>
      </c>
      <c r="E88" s="16" t="e">
        <f t="shared" si="12"/>
        <v>#DIV/0!</v>
      </c>
    </row>
    <row r="89" spans="1:9" ht="15.75">
      <c r="A89" s="40" t="s">
        <v>109</v>
      </c>
      <c r="B89" s="15">
        <v>31</v>
      </c>
      <c r="C89" s="15">
        <v>19</v>
      </c>
      <c r="D89" s="15">
        <f>21</f>
        <v>21</v>
      </c>
      <c r="E89" s="16" t="e">
        <f t="shared" si="12"/>
        <v>#DIV/0!</v>
      </c>
    </row>
    <row r="90" spans="1:9" ht="15.75">
      <c r="A90" s="40" t="s">
        <v>110</v>
      </c>
      <c r="B90" s="15">
        <v>30</v>
      </c>
      <c r="C90" s="15">
        <v>13</v>
      </c>
      <c r="D90" s="15">
        <f>21</f>
        <v>21</v>
      </c>
      <c r="E90" s="16" t="e">
        <f t="shared" si="12"/>
        <v>#DIV/0!</v>
      </c>
    </row>
    <row r="91" spans="1:9" ht="16.5" thickBot="1">
      <c r="A91" s="41" t="s">
        <v>111</v>
      </c>
      <c r="B91" s="19">
        <v>31</v>
      </c>
      <c r="C91" s="19">
        <v>11</v>
      </c>
      <c r="D91" s="19">
        <f>21</f>
        <v>21</v>
      </c>
      <c r="E91" s="16" t="e">
        <f t="shared" si="12"/>
        <v>#DIV/0!</v>
      </c>
      <c r="H91" s="49"/>
    </row>
    <row r="97" spans="1:8" ht="28.5">
      <c r="A97" s="13" t="s">
        <v>132</v>
      </c>
    </row>
    <row r="98" spans="1:8">
      <c r="F98" s="49"/>
    </row>
    <row r="99" spans="1:8" ht="15.75">
      <c r="A99" s="12" t="s">
        <v>179</v>
      </c>
      <c r="D99" s="43" t="s">
        <v>33</v>
      </c>
    </row>
    <row r="101" spans="1:8" ht="15.75">
      <c r="A101" s="12" t="s">
        <v>187</v>
      </c>
      <c r="D101" s="43" t="s">
        <v>34</v>
      </c>
    </row>
    <row r="102" spans="1:8" ht="15.75">
      <c r="A102" s="12" t="s">
        <v>180</v>
      </c>
      <c r="D102" s="43" t="s">
        <v>35</v>
      </c>
      <c r="F102" s="45" t="s">
        <v>185</v>
      </c>
      <c r="G102" s="12" t="e">
        <f>1+G104/(16*K73)</f>
        <v>#DIV/0!</v>
      </c>
    </row>
    <row r="103" spans="1:8" ht="15.75">
      <c r="A103" s="12" t="s">
        <v>181</v>
      </c>
      <c r="D103" s="43" t="s">
        <v>36</v>
      </c>
      <c r="F103" s="45" t="s">
        <v>184</v>
      </c>
      <c r="G103" s="12" t="e">
        <f>2+G104/(16*K73)</f>
        <v>#DIV/0!</v>
      </c>
    </row>
    <row r="104" spans="1:8" ht="15.75">
      <c r="A104" s="12" t="s">
        <v>182</v>
      </c>
      <c r="D104" s="43" t="s">
        <v>37</v>
      </c>
      <c r="F104" s="45" t="s">
        <v>183</v>
      </c>
      <c r="G104" s="12">
        <f>(165/3.6)*E50</f>
        <v>0</v>
      </c>
    </row>
    <row r="105" spans="1:8" ht="15.75">
      <c r="A105" s="12" t="s">
        <v>186</v>
      </c>
      <c r="B105" s="43"/>
      <c r="D105" s="42"/>
    </row>
    <row r="106" spans="1:8" ht="15.75" thickBot="1"/>
    <row r="107" spans="1:8" ht="15.75">
      <c r="A107" s="37" t="s">
        <v>99</v>
      </c>
      <c r="B107" s="38" t="s">
        <v>131</v>
      </c>
      <c r="C107" s="38" t="s">
        <v>24</v>
      </c>
      <c r="D107" s="38" t="s">
        <v>28</v>
      </c>
      <c r="E107" s="38" t="s">
        <v>29</v>
      </c>
      <c r="F107" s="38" t="s">
        <v>31</v>
      </c>
      <c r="G107" s="38" t="s">
        <v>34</v>
      </c>
      <c r="H107" s="39" t="s">
        <v>32</v>
      </c>
    </row>
    <row r="108" spans="1:8" ht="15.75">
      <c r="A108" s="40" t="s">
        <v>100</v>
      </c>
      <c r="B108" s="15">
        <v>31</v>
      </c>
      <c r="C108" s="15">
        <f t="shared" ref="C108:C119" si="13">K29</f>
        <v>0</v>
      </c>
      <c r="D108" s="15">
        <f>D54</f>
        <v>0</v>
      </c>
      <c r="E108" s="15">
        <f>C108+D108</f>
        <v>0</v>
      </c>
      <c r="F108" s="15" t="e">
        <f>E80</f>
        <v>#DIV/0!</v>
      </c>
      <c r="G108" s="15" t="e">
        <f>E108/F108</f>
        <v>#DIV/0!</v>
      </c>
      <c r="H108" s="16" t="e">
        <f>(1-G108^$G$102)/(1-G108^$G$103)</f>
        <v>#DIV/0!</v>
      </c>
    </row>
    <row r="109" spans="1:8" ht="15.75">
      <c r="A109" s="40" t="s">
        <v>101</v>
      </c>
      <c r="B109" s="15">
        <v>28</v>
      </c>
      <c r="C109" s="15">
        <f t="shared" si="13"/>
        <v>0</v>
      </c>
      <c r="D109" s="15">
        <f t="shared" ref="D109:D119" si="14">D55</f>
        <v>0</v>
      </c>
      <c r="E109" s="15">
        <f t="shared" ref="E109:E119" si="15">C109+D109</f>
        <v>0</v>
      </c>
      <c r="F109" s="15" t="e">
        <f t="shared" ref="F109:F119" si="16">E81</f>
        <v>#DIV/0!</v>
      </c>
      <c r="G109" s="15" t="e">
        <f t="shared" ref="G109:G119" si="17">E109/F109</f>
        <v>#DIV/0!</v>
      </c>
      <c r="H109" s="16" t="e">
        <f t="shared" ref="H109:H119" si="18">(1-G109^$G$102)/(1-G109^$G$103)</f>
        <v>#DIV/0!</v>
      </c>
    </row>
    <row r="110" spans="1:8" ht="15.75">
      <c r="A110" s="40" t="s">
        <v>102</v>
      </c>
      <c r="B110" s="15">
        <v>31</v>
      </c>
      <c r="C110" s="15">
        <f t="shared" si="13"/>
        <v>0</v>
      </c>
      <c r="D110" s="15">
        <f t="shared" si="14"/>
        <v>0</v>
      </c>
      <c r="E110" s="15">
        <f t="shared" si="15"/>
        <v>0</v>
      </c>
      <c r="F110" s="15" t="e">
        <f t="shared" si="16"/>
        <v>#DIV/0!</v>
      </c>
      <c r="G110" s="15" t="e">
        <f t="shared" si="17"/>
        <v>#DIV/0!</v>
      </c>
      <c r="H110" s="16" t="e">
        <f t="shared" si="18"/>
        <v>#DIV/0!</v>
      </c>
    </row>
    <row r="111" spans="1:8" ht="15.75">
      <c r="A111" s="40" t="s">
        <v>103</v>
      </c>
      <c r="B111" s="15">
        <v>30</v>
      </c>
      <c r="C111" s="15">
        <f t="shared" si="13"/>
        <v>0</v>
      </c>
      <c r="D111" s="15">
        <f t="shared" si="14"/>
        <v>0</v>
      </c>
      <c r="E111" s="15">
        <f t="shared" si="15"/>
        <v>0</v>
      </c>
      <c r="F111" s="15" t="e">
        <f t="shared" si="16"/>
        <v>#DIV/0!</v>
      </c>
      <c r="G111" s="15" t="e">
        <f t="shared" si="17"/>
        <v>#DIV/0!</v>
      </c>
      <c r="H111" s="16" t="e">
        <f t="shared" si="18"/>
        <v>#DIV/0!</v>
      </c>
    </row>
    <row r="112" spans="1:8" ht="15.75">
      <c r="A112" s="40" t="s">
        <v>104</v>
      </c>
      <c r="B112" s="15">
        <v>31</v>
      </c>
      <c r="C112" s="15">
        <f t="shared" si="13"/>
        <v>0</v>
      </c>
      <c r="D112" s="15">
        <f t="shared" si="14"/>
        <v>0</v>
      </c>
      <c r="E112" s="15">
        <f t="shared" si="15"/>
        <v>0</v>
      </c>
      <c r="F112" s="15" t="e">
        <f t="shared" si="16"/>
        <v>#DIV/0!</v>
      </c>
      <c r="G112" s="15" t="e">
        <f t="shared" si="17"/>
        <v>#DIV/0!</v>
      </c>
      <c r="H112" s="16" t="e">
        <f t="shared" si="18"/>
        <v>#DIV/0!</v>
      </c>
    </row>
    <row r="113" spans="1:8" ht="15.75">
      <c r="A113" s="40" t="s">
        <v>105</v>
      </c>
      <c r="B113" s="15">
        <v>30</v>
      </c>
      <c r="C113" s="15">
        <f t="shared" si="13"/>
        <v>0</v>
      </c>
      <c r="D113" s="15">
        <f t="shared" si="14"/>
        <v>0</v>
      </c>
      <c r="E113" s="15">
        <f t="shared" si="15"/>
        <v>0</v>
      </c>
      <c r="F113" s="15" t="e">
        <f t="shared" si="16"/>
        <v>#DIV/0!</v>
      </c>
      <c r="G113" s="15" t="e">
        <f t="shared" si="17"/>
        <v>#DIV/0!</v>
      </c>
      <c r="H113" s="16" t="e">
        <f t="shared" si="18"/>
        <v>#DIV/0!</v>
      </c>
    </row>
    <row r="114" spans="1:8" ht="15.75">
      <c r="A114" s="40" t="s">
        <v>106</v>
      </c>
      <c r="B114" s="15">
        <v>31</v>
      </c>
      <c r="C114" s="15">
        <f t="shared" si="13"/>
        <v>0</v>
      </c>
      <c r="D114" s="15">
        <f t="shared" si="14"/>
        <v>0</v>
      </c>
      <c r="E114" s="15">
        <f t="shared" si="15"/>
        <v>0</v>
      </c>
      <c r="F114" s="15" t="e">
        <f t="shared" si="16"/>
        <v>#DIV/0!</v>
      </c>
      <c r="G114" s="15" t="e">
        <f t="shared" si="17"/>
        <v>#DIV/0!</v>
      </c>
      <c r="H114" s="16" t="e">
        <f t="shared" si="18"/>
        <v>#DIV/0!</v>
      </c>
    </row>
    <row r="115" spans="1:8" ht="15.75">
      <c r="A115" s="40" t="s">
        <v>107</v>
      </c>
      <c r="B115" s="15">
        <v>31</v>
      </c>
      <c r="C115" s="15">
        <f t="shared" si="13"/>
        <v>0</v>
      </c>
      <c r="D115" s="15">
        <f t="shared" si="14"/>
        <v>0</v>
      </c>
      <c r="E115" s="15">
        <f t="shared" si="15"/>
        <v>0</v>
      </c>
      <c r="F115" s="15" t="e">
        <f t="shared" si="16"/>
        <v>#DIV/0!</v>
      </c>
      <c r="G115" s="15" t="e">
        <f t="shared" si="17"/>
        <v>#DIV/0!</v>
      </c>
      <c r="H115" s="16" t="e">
        <f t="shared" si="18"/>
        <v>#DIV/0!</v>
      </c>
    </row>
    <row r="116" spans="1:8" ht="15.75">
      <c r="A116" s="40" t="s">
        <v>108</v>
      </c>
      <c r="B116" s="15">
        <v>30</v>
      </c>
      <c r="C116" s="15">
        <f t="shared" si="13"/>
        <v>0</v>
      </c>
      <c r="D116" s="15">
        <f t="shared" si="14"/>
        <v>0</v>
      </c>
      <c r="E116" s="15">
        <f t="shared" si="15"/>
        <v>0</v>
      </c>
      <c r="F116" s="15" t="e">
        <f t="shared" si="16"/>
        <v>#DIV/0!</v>
      </c>
      <c r="G116" s="15" t="e">
        <f t="shared" si="17"/>
        <v>#DIV/0!</v>
      </c>
      <c r="H116" s="16" t="e">
        <f t="shared" si="18"/>
        <v>#DIV/0!</v>
      </c>
    </row>
    <row r="117" spans="1:8" ht="15.75">
      <c r="A117" s="40" t="s">
        <v>109</v>
      </c>
      <c r="B117" s="15">
        <v>31</v>
      </c>
      <c r="C117" s="15">
        <f t="shared" si="13"/>
        <v>0</v>
      </c>
      <c r="D117" s="15">
        <f t="shared" si="14"/>
        <v>0</v>
      </c>
      <c r="E117" s="15">
        <f t="shared" si="15"/>
        <v>0</v>
      </c>
      <c r="F117" s="15" t="e">
        <f t="shared" si="16"/>
        <v>#DIV/0!</v>
      </c>
      <c r="G117" s="15" t="e">
        <f t="shared" si="17"/>
        <v>#DIV/0!</v>
      </c>
      <c r="H117" s="16" t="e">
        <f t="shared" si="18"/>
        <v>#DIV/0!</v>
      </c>
    </row>
    <row r="118" spans="1:8" ht="15.75">
      <c r="A118" s="40" t="s">
        <v>110</v>
      </c>
      <c r="B118" s="15">
        <v>30</v>
      </c>
      <c r="C118" s="15">
        <f t="shared" si="13"/>
        <v>0</v>
      </c>
      <c r="D118" s="15">
        <f t="shared" si="14"/>
        <v>0</v>
      </c>
      <c r="E118" s="15">
        <f t="shared" si="15"/>
        <v>0</v>
      </c>
      <c r="F118" s="15" t="e">
        <f t="shared" si="16"/>
        <v>#DIV/0!</v>
      </c>
      <c r="G118" s="15" t="e">
        <f t="shared" si="17"/>
        <v>#DIV/0!</v>
      </c>
      <c r="H118" s="16" t="e">
        <f t="shared" si="18"/>
        <v>#DIV/0!</v>
      </c>
    </row>
    <row r="119" spans="1:8" ht="16.5" thickBot="1">
      <c r="A119" s="41" t="s">
        <v>111</v>
      </c>
      <c r="B119" s="19">
        <v>31</v>
      </c>
      <c r="C119" s="15">
        <f t="shared" si="13"/>
        <v>0</v>
      </c>
      <c r="D119" s="15">
        <f t="shared" si="14"/>
        <v>0</v>
      </c>
      <c r="E119" s="15">
        <f t="shared" si="15"/>
        <v>0</v>
      </c>
      <c r="F119" s="15" t="e">
        <f t="shared" si="16"/>
        <v>#DIV/0!</v>
      </c>
      <c r="G119" s="15" t="e">
        <f t="shared" si="17"/>
        <v>#DIV/0!</v>
      </c>
      <c r="H119" s="16" t="e">
        <f t="shared" si="18"/>
        <v>#DIV/0!</v>
      </c>
    </row>
    <row r="124" spans="1:8" ht="23.25">
      <c r="A124" s="46"/>
    </row>
    <row r="132" spans="10:29" ht="51">
      <c r="J132" s="77"/>
      <c r="K132" s="23"/>
      <c r="U132" s="50" t="s">
        <v>135</v>
      </c>
      <c r="V132" s="50" t="s">
        <v>136</v>
      </c>
      <c r="W132" s="9"/>
      <c r="X132" s="9" t="s">
        <v>133</v>
      </c>
      <c r="Y132" s="9" t="s">
        <v>134</v>
      </c>
      <c r="Z132" s="117" t="s">
        <v>138</v>
      </c>
      <c r="AA132" s="117"/>
      <c r="AB132" s="10" t="s">
        <v>139</v>
      </c>
      <c r="AC132" s="10" t="s">
        <v>140</v>
      </c>
    </row>
    <row r="133" spans="10:29">
      <c r="J133" s="78"/>
      <c r="K133" s="23"/>
      <c r="U133" s="51">
        <f>F133</f>
        <v>0</v>
      </c>
      <c r="V133" s="51">
        <v>26</v>
      </c>
      <c r="W133" s="11">
        <f>IF(X133&lt;0,1,0)</f>
        <v>0</v>
      </c>
      <c r="X133" s="51">
        <f t="shared" ref="X133:X144" si="19">V133-U133</f>
        <v>26</v>
      </c>
      <c r="Y133" s="52">
        <v>40193</v>
      </c>
      <c r="Z133" s="53"/>
      <c r="AA133" s="53"/>
      <c r="AB133" s="54"/>
      <c r="AC133" s="51" t="e">
        <f>(R118-O118*T133)*AB133/N118</f>
        <v>#DIV/0!</v>
      </c>
    </row>
    <row r="134" spans="10:29">
      <c r="J134" s="78"/>
      <c r="K134" s="23"/>
      <c r="U134" s="51">
        <f t="shared" ref="U134:U144" si="20">F134</f>
        <v>0</v>
      </c>
      <c r="V134" s="51">
        <f t="shared" ref="V134:V144" si="21">V133</f>
        <v>26</v>
      </c>
      <c r="W134" s="11">
        <f>IF(SIGN(X134)=SIGN(X133),0,MAX($K$34:W133)+1)</f>
        <v>0</v>
      </c>
      <c r="X134" s="51">
        <f t="shared" si="19"/>
        <v>26</v>
      </c>
      <c r="Y134" s="52">
        <v>40224</v>
      </c>
      <c r="Z134" s="53"/>
      <c r="AA134" s="53"/>
      <c r="AB134" s="11"/>
      <c r="AC134" s="51" t="e">
        <f>(R119-O119*T134)*AB134/N119</f>
        <v>#DIV/0!</v>
      </c>
    </row>
    <row r="135" spans="10:29">
      <c r="J135" s="78"/>
      <c r="K135" s="23"/>
      <c r="U135" s="51">
        <f t="shared" si="20"/>
        <v>0</v>
      </c>
      <c r="V135" s="51">
        <f t="shared" si="21"/>
        <v>26</v>
      </c>
      <c r="W135" s="11">
        <f>IF(SIGN(X135)=SIGN(X134),0,MAX($K$34:W134)+1)</f>
        <v>0</v>
      </c>
      <c r="X135" s="51">
        <f t="shared" si="19"/>
        <v>26</v>
      </c>
      <c r="Y135" s="52">
        <v>40252</v>
      </c>
      <c r="Z135" s="53"/>
      <c r="AA135" s="53"/>
      <c r="AB135" s="11"/>
      <c r="AC135" s="51">
        <f t="shared" ref="AC135:AC143" si="22">AB135*8*5.5</f>
        <v>0</v>
      </c>
    </row>
    <row r="136" spans="10:29">
      <c r="J136" s="78"/>
      <c r="K136" s="23"/>
      <c r="U136" s="51">
        <f t="shared" si="20"/>
        <v>0</v>
      </c>
      <c r="V136" s="51">
        <f t="shared" si="21"/>
        <v>26</v>
      </c>
      <c r="W136" s="11">
        <f>IF(SIGN(X136)=SIGN(X135),0,MAX($K$34:W135)+1)</f>
        <v>0</v>
      </c>
      <c r="X136" s="51">
        <f t="shared" si="19"/>
        <v>26</v>
      </c>
      <c r="Y136" s="52">
        <v>40283</v>
      </c>
      <c r="Z136" s="53"/>
      <c r="AA136" s="53"/>
      <c r="AB136" s="11"/>
      <c r="AC136" s="51">
        <f t="shared" si="22"/>
        <v>0</v>
      </c>
    </row>
    <row r="137" spans="10:29">
      <c r="J137" s="78"/>
      <c r="K137" s="23"/>
      <c r="U137" s="51">
        <f t="shared" si="20"/>
        <v>0</v>
      </c>
      <c r="V137" s="51">
        <f t="shared" si="21"/>
        <v>26</v>
      </c>
      <c r="W137" s="11">
        <f>IF(SIGN(X137)=SIGN(X136),0,MAX($K$34:W136)+1)</f>
        <v>0</v>
      </c>
      <c r="X137" s="51">
        <f t="shared" si="19"/>
        <v>26</v>
      </c>
      <c r="Y137" s="52">
        <v>40313</v>
      </c>
      <c r="Z137" s="53"/>
      <c r="AA137" s="53"/>
      <c r="AB137" s="11"/>
      <c r="AC137" s="51">
        <f t="shared" si="22"/>
        <v>0</v>
      </c>
    </row>
    <row r="138" spans="10:29">
      <c r="J138" s="78"/>
      <c r="K138" s="23"/>
      <c r="U138" s="51">
        <f t="shared" si="20"/>
        <v>0</v>
      </c>
      <c r="V138" s="51">
        <f t="shared" si="21"/>
        <v>26</v>
      </c>
      <c r="W138" s="11">
        <f>IF(SIGN(X138)=SIGN(X137),0,MAX($K$34:W137)+1)</f>
        <v>0</v>
      </c>
      <c r="X138" s="51">
        <f t="shared" si="19"/>
        <v>26</v>
      </c>
      <c r="Y138" s="52">
        <v>40344</v>
      </c>
      <c r="Z138" s="53"/>
      <c r="AA138" s="53"/>
      <c r="AB138" s="11"/>
      <c r="AC138" s="51">
        <f t="shared" si="22"/>
        <v>0</v>
      </c>
    </row>
    <row r="139" spans="10:29">
      <c r="J139" s="78"/>
      <c r="K139" s="23"/>
      <c r="U139" s="51">
        <f t="shared" si="20"/>
        <v>0</v>
      </c>
      <c r="V139" s="51">
        <f t="shared" si="21"/>
        <v>26</v>
      </c>
      <c r="W139" s="11">
        <f>IF(SIGN(X139)=SIGN(X138),0,MAX($K$34:W138)+1)</f>
        <v>0</v>
      </c>
      <c r="X139" s="51">
        <f t="shared" si="19"/>
        <v>26</v>
      </c>
      <c r="Y139" s="52">
        <v>40374</v>
      </c>
      <c r="Z139" s="53"/>
      <c r="AA139" s="53"/>
      <c r="AB139" s="11"/>
      <c r="AC139" s="51">
        <f t="shared" si="22"/>
        <v>0</v>
      </c>
    </row>
    <row r="140" spans="10:29">
      <c r="J140" s="78"/>
      <c r="K140" s="23"/>
      <c r="U140" s="51">
        <f t="shared" si="20"/>
        <v>0</v>
      </c>
      <c r="V140" s="51">
        <f t="shared" si="21"/>
        <v>26</v>
      </c>
      <c r="W140" s="11">
        <f>IF(SIGN(X140)=SIGN(X139),0,MAX($K$34:W139)+1)</f>
        <v>0</v>
      </c>
      <c r="X140" s="51">
        <f t="shared" si="19"/>
        <v>26</v>
      </c>
      <c r="Y140" s="52">
        <v>40405</v>
      </c>
      <c r="Z140" s="53"/>
      <c r="AA140" s="53"/>
      <c r="AB140" s="11"/>
      <c r="AC140" s="51">
        <f t="shared" si="22"/>
        <v>0</v>
      </c>
    </row>
    <row r="141" spans="10:29">
      <c r="J141" s="78"/>
      <c r="K141" s="23"/>
      <c r="U141" s="51">
        <f t="shared" si="20"/>
        <v>0</v>
      </c>
      <c r="V141" s="51">
        <f t="shared" si="21"/>
        <v>26</v>
      </c>
      <c r="W141" s="11">
        <f>IF(SIGN(X141)=SIGN(X140),0,MAX($K$34:W140)+1)</f>
        <v>0</v>
      </c>
      <c r="X141" s="51">
        <f t="shared" si="19"/>
        <v>26</v>
      </c>
      <c r="Y141" s="52">
        <v>40436</v>
      </c>
      <c r="Z141" s="53"/>
      <c r="AA141" s="53"/>
      <c r="AB141" s="11"/>
      <c r="AC141" s="51">
        <f t="shared" si="22"/>
        <v>0</v>
      </c>
    </row>
    <row r="142" spans="10:29">
      <c r="J142" s="78"/>
      <c r="K142" s="23"/>
      <c r="U142" s="51">
        <f t="shared" si="20"/>
        <v>0</v>
      </c>
      <c r="V142" s="51">
        <f t="shared" si="21"/>
        <v>26</v>
      </c>
      <c r="W142" s="11">
        <f>IF(SIGN(X142)=SIGN(X141),0,MAX($K$34:W141)+1)</f>
        <v>0</v>
      </c>
      <c r="X142" s="51">
        <f t="shared" si="19"/>
        <v>26</v>
      </c>
      <c r="Y142" s="52">
        <v>40466</v>
      </c>
      <c r="Z142" s="53"/>
      <c r="AA142" s="53"/>
      <c r="AB142" s="11"/>
      <c r="AC142" s="51">
        <f t="shared" si="22"/>
        <v>0</v>
      </c>
    </row>
    <row r="143" spans="10:29">
      <c r="J143" s="78"/>
      <c r="K143" s="23"/>
      <c r="U143" s="51">
        <f t="shared" si="20"/>
        <v>0</v>
      </c>
      <c r="V143" s="51">
        <f t="shared" si="21"/>
        <v>26</v>
      </c>
      <c r="W143" s="11">
        <f>IF(SIGN(X143)=SIGN(X142),0,MAX($K$34:W142)+1)</f>
        <v>0</v>
      </c>
      <c r="X143" s="51">
        <f t="shared" si="19"/>
        <v>26</v>
      </c>
      <c r="Y143" s="52">
        <v>40497</v>
      </c>
      <c r="Z143" s="53"/>
      <c r="AA143" s="53"/>
      <c r="AB143" s="11"/>
      <c r="AC143" s="51">
        <f t="shared" si="22"/>
        <v>0</v>
      </c>
    </row>
    <row r="144" spans="10:29">
      <c r="J144" s="78"/>
      <c r="K144" s="23"/>
      <c r="U144" s="51">
        <f t="shared" si="20"/>
        <v>0</v>
      </c>
      <c r="V144" s="51">
        <f t="shared" si="21"/>
        <v>26</v>
      </c>
      <c r="W144" s="11">
        <f>IF(SIGN(X144)=SIGN(X143),0,MAX($K$34:W143)+1)</f>
        <v>0</v>
      </c>
      <c r="X144" s="51">
        <f t="shared" si="19"/>
        <v>26</v>
      </c>
      <c r="Y144" s="52">
        <v>40527</v>
      </c>
      <c r="Z144" s="55"/>
      <c r="AA144" s="55"/>
      <c r="AB144" s="11"/>
      <c r="AC144" s="51" t="e">
        <f>(R129-O129*T144)*AB144/N129</f>
        <v>#DIV/0!</v>
      </c>
    </row>
    <row r="145" spans="1:13">
      <c r="J145" s="23"/>
      <c r="M145" s="56"/>
    </row>
    <row r="146" spans="1:13" ht="23.25">
      <c r="A146" s="46"/>
    </row>
  </sheetData>
  <mergeCells count="1">
    <mergeCell ref="Z132:AA13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H16" sqref="H16"/>
    </sheetView>
  </sheetViews>
  <sheetFormatPr baseColWidth="10" defaultRowHeight="15"/>
  <cols>
    <col min="5" max="5" width="12.140625" customWidth="1"/>
    <col min="6" max="6" width="14.42578125" customWidth="1"/>
    <col min="7" max="7" width="13.5703125" customWidth="1"/>
    <col min="11" max="11" width="15.5703125" customWidth="1"/>
  </cols>
  <sheetData>
    <row r="1" spans="1:21" ht="47.25">
      <c r="A1" s="76" t="s">
        <v>205</v>
      </c>
      <c r="H1" s="37" t="s">
        <v>99</v>
      </c>
      <c r="I1" s="38" t="s">
        <v>112</v>
      </c>
      <c r="J1" s="38" t="s">
        <v>189</v>
      </c>
      <c r="K1" s="38" t="s">
        <v>31</v>
      </c>
      <c r="L1" s="38" t="s">
        <v>198</v>
      </c>
      <c r="M1" s="81" t="s">
        <v>199</v>
      </c>
      <c r="N1" s="82" t="s">
        <v>201</v>
      </c>
      <c r="O1" s="83"/>
      <c r="P1" s="83" t="s">
        <v>202</v>
      </c>
      <c r="Q1" s="83" t="s">
        <v>134</v>
      </c>
      <c r="R1" s="118" t="s">
        <v>203</v>
      </c>
      <c r="S1" s="119"/>
      <c r="T1" s="84" t="s">
        <v>204</v>
      </c>
      <c r="U1" s="85" t="s">
        <v>217</v>
      </c>
    </row>
    <row r="2" spans="1:21" ht="15.75">
      <c r="H2" s="40" t="s">
        <v>100</v>
      </c>
      <c r="I2" s="86">
        <v>31</v>
      </c>
      <c r="J2" s="86">
        <f>'calculus Q'!C80</f>
        <v>8</v>
      </c>
      <c r="K2" s="86" t="e">
        <f>'calculus Q'!E80</f>
        <v>#DIV/0!</v>
      </c>
      <c r="L2" s="86">
        <f>'calculus Q'!E54</f>
        <v>0</v>
      </c>
      <c r="M2" s="86" t="e">
        <f>J2+L2*1000/($G$9*I2*24)</f>
        <v>#DIV/0!</v>
      </c>
      <c r="N2" s="87">
        <f>21</f>
        <v>21</v>
      </c>
      <c r="O2" s="88" t="e">
        <f>IF(P2&lt;0,1,0)</f>
        <v>#DIV/0!</v>
      </c>
      <c r="P2" s="89" t="e">
        <f>N2-M2</f>
        <v>#DIV/0!</v>
      </c>
      <c r="Q2" s="90">
        <v>40193</v>
      </c>
      <c r="R2" s="90" t="e">
        <f ca="1">IF(OR(AND(Q2-14&gt;$H$26,Q2-14&lt;$H$19),Q2-14&gt;$H$25),Q2-14,$H$25)</f>
        <v>#N/A</v>
      </c>
      <c r="S2" s="90" t="e">
        <f ca="1">IF(OR(Q2+I2-15&lt;$H$19,AND(Q2+I2-15&gt;$H$24,Q2+I2-15&lt;$H$20)),Q2+I2-15,$H$20)</f>
        <v>#N/A</v>
      </c>
      <c r="T2" s="88" t="e">
        <f ca="1">IF(MONTH(R2)=MONTH(Q2),S2-R2+1,0)</f>
        <v>#N/A</v>
      </c>
      <c r="U2" s="91" t="e">
        <f ca="1">(K2-L2*'calculus Q'!H108)*T2/I2</f>
        <v>#DIV/0!</v>
      </c>
    </row>
    <row r="3" spans="1:21" ht="15.75">
      <c r="H3" s="40" t="s">
        <v>101</v>
      </c>
      <c r="I3" s="86">
        <v>28</v>
      </c>
      <c r="J3" s="86">
        <f>'calculus Q'!C81</f>
        <v>7</v>
      </c>
      <c r="K3" s="86" t="e">
        <f>'calculus Q'!E81</f>
        <v>#DIV/0!</v>
      </c>
      <c r="L3" s="86">
        <f>'calculus Q'!E55</f>
        <v>0</v>
      </c>
      <c r="M3" s="86" t="e">
        <f t="shared" ref="M3:M13" si="0">J3+L3*1000/($G$9*I3*24)</f>
        <v>#DIV/0!</v>
      </c>
      <c r="N3" s="87">
        <f>21</f>
        <v>21</v>
      </c>
      <c r="O3" s="88" t="e">
        <f>IF(SIGN(P3)=SIGN(P2),0,MAX($O$2:O2)+1)</f>
        <v>#DIV/0!</v>
      </c>
      <c r="P3" s="89" t="e">
        <f t="shared" ref="P3:P13" si="1">N3-M3</f>
        <v>#DIV/0!</v>
      </c>
      <c r="Q3" s="90">
        <v>40224</v>
      </c>
      <c r="R3" s="90" t="e">
        <f t="shared" ref="R3:R13" ca="1" si="2">IF(OR(AND(Q3-14&gt;$H$26,Q3-14&lt;$H$19),Q3-14&gt;$H$25),Q3-14,$H$25)</f>
        <v>#N/A</v>
      </c>
      <c r="S3" s="90" t="e">
        <f t="shared" ref="S3:S13" ca="1" si="3">IF(OR(Q3+I3-15&lt;$H$19,AND(Q3+I3-15&gt;$H$24,Q3+I3-15&lt;$H$20)),Q3+I3-15,$H$20)</f>
        <v>#N/A</v>
      </c>
      <c r="T3" s="88" t="e">
        <f t="shared" ref="T3:T13" ca="1" si="4">IF(MONTH(R3)=MONTH(Q3),S3-R3+1,0)</f>
        <v>#N/A</v>
      </c>
      <c r="U3" s="91" t="e">
        <f ca="1">(K3-L3*'calculus Q'!H109)*T3/I3</f>
        <v>#DIV/0!</v>
      </c>
    </row>
    <row r="4" spans="1:21" ht="19.5" customHeight="1">
      <c r="A4" s="46" t="s">
        <v>193</v>
      </c>
      <c r="B4" s="12"/>
      <c r="C4" s="12"/>
      <c r="D4" s="12"/>
      <c r="E4" s="12"/>
      <c r="F4" s="12"/>
      <c r="H4" s="40" t="s">
        <v>102</v>
      </c>
      <c r="I4" s="86">
        <v>31</v>
      </c>
      <c r="J4" s="86">
        <f>'calculus Q'!C82</f>
        <v>10</v>
      </c>
      <c r="K4" s="86" t="e">
        <f>'calculus Q'!E82</f>
        <v>#DIV/0!</v>
      </c>
      <c r="L4" s="86">
        <f>'calculus Q'!E56</f>
        <v>0</v>
      </c>
      <c r="M4" s="86" t="e">
        <f t="shared" si="0"/>
        <v>#DIV/0!</v>
      </c>
      <c r="N4" s="87">
        <f>21</f>
        <v>21</v>
      </c>
      <c r="O4" s="88" t="e">
        <f>IF(SIGN(P4)=SIGN(P3),0,MAX($O$2:O3)+1)</f>
        <v>#DIV/0!</v>
      </c>
      <c r="P4" s="89" t="e">
        <f t="shared" si="1"/>
        <v>#DIV/0!</v>
      </c>
      <c r="Q4" s="90">
        <v>40252</v>
      </c>
      <c r="R4" s="90" t="e">
        <f t="shared" ca="1" si="2"/>
        <v>#N/A</v>
      </c>
      <c r="S4" s="90" t="e">
        <f t="shared" ca="1" si="3"/>
        <v>#N/A</v>
      </c>
      <c r="T4" s="88" t="e">
        <f t="shared" ca="1" si="4"/>
        <v>#N/A</v>
      </c>
      <c r="U4" s="91" t="e">
        <f ca="1">(K4-L4*'calculus Q'!H110)*T4/I4</f>
        <v>#DIV/0!</v>
      </c>
    </row>
    <row r="5" spans="1:21" ht="15.75">
      <c r="A5" s="12"/>
      <c r="B5" s="12"/>
      <c r="C5" s="12"/>
      <c r="D5" s="12"/>
      <c r="E5" s="12"/>
      <c r="F5" s="12"/>
      <c r="H5" s="40" t="s">
        <v>103</v>
      </c>
      <c r="I5" s="86">
        <v>30</v>
      </c>
      <c r="J5" s="86">
        <f>'calculus Q'!C83</f>
        <v>14</v>
      </c>
      <c r="K5" s="86" t="e">
        <f>'calculus Q'!E83</f>
        <v>#DIV/0!</v>
      </c>
      <c r="L5" s="86">
        <f>'calculus Q'!E57</f>
        <v>0</v>
      </c>
      <c r="M5" s="86" t="e">
        <f t="shared" si="0"/>
        <v>#DIV/0!</v>
      </c>
      <c r="N5" s="87">
        <f>21</f>
        <v>21</v>
      </c>
      <c r="O5" s="88" t="e">
        <f>IF(SIGN(P5)=SIGN(P4),0,MAX($O$2:O4)+1)</f>
        <v>#DIV/0!</v>
      </c>
      <c r="P5" s="89" t="e">
        <f t="shared" si="1"/>
        <v>#DIV/0!</v>
      </c>
      <c r="Q5" s="90">
        <v>40283</v>
      </c>
      <c r="R5" s="90" t="e">
        <f t="shared" ca="1" si="2"/>
        <v>#N/A</v>
      </c>
      <c r="S5" s="90" t="e">
        <f t="shared" ca="1" si="3"/>
        <v>#N/A</v>
      </c>
      <c r="T5" s="88" t="e">
        <f t="shared" ca="1" si="4"/>
        <v>#N/A</v>
      </c>
      <c r="U5" s="91" t="e">
        <f ca="1">(K5-L5*'calculus Q'!H111)*T5/I5</f>
        <v>#DIV/0!</v>
      </c>
    </row>
    <row r="6" spans="1:21" ht="15.75">
      <c r="A6" t="s">
        <v>188</v>
      </c>
      <c r="B6" s="12"/>
      <c r="C6" s="12"/>
      <c r="D6" s="43" t="s">
        <v>194</v>
      </c>
      <c r="E6" s="12"/>
      <c r="F6" s="12"/>
      <c r="H6" s="40" t="s">
        <v>104</v>
      </c>
      <c r="I6" s="86">
        <v>31</v>
      </c>
      <c r="J6" s="86">
        <f>'calculus Q'!C84</f>
        <v>18</v>
      </c>
      <c r="K6" s="86" t="e">
        <f>'calculus Q'!E84</f>
        <v>#DIV/0!</v>
      </c>
      <c r="L6" s="86">
        <f>'calculus Q'!E58</f>
        <v>0</v>
      </c>
      <c r="M6" s="86" t="e">
        <f t="shared" si="0"/>
        <v>#DIV/0!</v>
      </c>
      <c r="N6" s="87">
        <f>21</f>
        <v>21</v>
      </c>
      <c r="O6" s="88" t="e">
        <f>IF(SIGN(P6)=SIGN(P5),0,MAX($O$2:O5)+1)</f>
        <v>#DIV/0!</v>
      </c>
      <c r="P6" s="89" t="e">
        <f t="shared" si="1"/>
        <v>#DIV/0!</v>
      </c>
      <c r="Q6" s="90">
        <v>40313</v>
      </c>
      <c r="R6" s="90" t="e">
        <f t="shared" ca="1" si="2"/>
        <v>#N/A</v>
      </c>
      <c r="S6" s="90" t="e">
        <f t="shared" ca="1" si="3"/>
        <v>#N/A</v>
      </c>
      <c r="T6" s="88" t="e">
        <f t="shared" ca="1" si="4"/>
        <v>#N/A</v>
      </c>
      <c r="U6" s="91" t="e">
        <f ca="1">(K6-L6*'calculus Q'!H112)*T6/I6</f>
        <v>#DIV/0!</v>
      </c>
    </row>
    <row r="7" spans="1:21" ht="15.75">
      <c r="A7" s="12"/>
      <c r="B7" s="12"/>
      <c r="C7" s="12"/>
      <c r="D7" s="12"/>
      <c r="E7" s="12"/>
      <c r="F7" s="12"/>
      <c r="H7" s="40" t="s">
        <v>105</v>
      </c>
      <c r="I7" s="86">
        <v>30</v>
      </c>
      <c r="J7" s="86">
        <f>'calculus Q'!C85</f>
        <v>21</v>
      </c>
      <c r="K7" s="86" t="e">
        <f>'calculus Q'!E85</f>
        <v>#DIV/0!</v>
      </c>
      <c r="L7" s="86">
        <f>'calculus Q'!E59</f>
        <v>0</v>
      </c>
      <c r="M7" s="86" t="e">
        <f t="shared" si="0"/>
        <v>#DIV/0!</v>
      </c>
      <c r="N7" s="87">
        <f>21</f>
        <v>21</v>
      </c>
      <c r="O7" s="88" t="e">
        <f>IF(SIGN(P7)=SIGN(P6),0,MAX($O$2:O6)+1)</f>
        <v>#DIV/0!</v>
      </c>
      <c r="P7" s="89" t="e">
        <f t="shared" si="1"/>
        <v>#DIV/0!</v>
      </c>
      <c r="Q7" s="90">
        <v>40344</v>
      </c>
      <c r="R7" s="90" t="e">
        <f t="shared" ca="1" si="2"/>
        <v>#N/A</v>
      </c>
      <c r="S7" s="90" t="e">
        <f t="shared" ca="1" si="3"/>
        <v>#N/A</v>
      </c>
      <c r="T7" s="88" t="e">
        <f t="shared" ca="1" si="4"/>
        <v>#N/A</v>
      </c>
      <c r="U7" s="91" t="e">
        <f ca="1">(K7-L7*'calculus Q'!H113)*T7/I7</f>
        <v>#DIV/0!</v>
      </c>
    </row>
    <row r="8" spans="1:21" ht="15.75">
      <c r="A8" s="12" t="s">
        <v>192</v>
      </c>
      <c r="B8" s="12"/>
      <c r="C8" s="12"/>
      <c r="D8" s="12"/>
      <c r="E8" s="12"/>
      <c r="F8" s="12"/>
      <c r="H8" s="40" t="s">
        <v>106</v>
      </c>
      <c r="I8" s="86">
        <v>31</v>
      </c>
      <c r="J8" s="86">
        <f>'calculus Q'!C86</f>
        <v>22</v>
      </c>
      <c r="K8" s="86" t="e">
        <f>'calculus Q'!E86</f>
        <v>#DIV/0!</v>
      </c>
      <c r="L8" s="86">
        <f>'calculus Q'!E60</f>
        <v>0</v>
      </c>
      <c r="M8" s="86" t="e">
        <f t="shared" si="0"/>
        <v>#DIV/0!</v>
      </c>
      <c r="N8" s="87">
        <f>21</f>
        <v>21</v>
      </c>
      <c r="O8" s="88" t="e">
        <f>IF(SIGN(P8)=SIGN(P7),0,MAX($O$2:O7)+1)</f>
        <v>#DIV/0!</v>
      </c>
      <c r="P8" s="89" t="e">
        <f t="shared" si="1"/>
        <v>#DIV/0!</v>
      </c>
      <c r="Q8" s="90">
        <v>40374</v>
      </c>
      <c r="R8" s="90" t="e">
        <f t="shared" ca="1" si="2"/>
        <v>#N/A</v>
      </c>
      <c r="S8" s="90" t="e">
        <f t="shared" ca="1" si="3"/>
        <v>#N/A</v>
      </c>
      <c r="T8" s="88" t="e">
        <f t="shared" ca="1" si="4"/>
        <v>#N/A</v>
      </c>
      <c r="U8" s="91" t="e">
        <f ca="1">(K8-L8*'calculus Q'!H114)*T8/I8</f>
        <v>#DIV/0!</v>
      </c>
    </row>
    <row r="9" spans="1:21" ht="15.75">
      <c r="A9" s="12" t="s">
        <v>196</v>
      </c>
      <c r="B9" s="12"/>
      <c r="C9" s="12"/>
      <c r="D9" s="12"/>
      <c r="E9" s="43" t="s">
        <v>200</v>
      </c>
      <c r="F9" s="42" t="s">
        <v>173</v>
      </c>
      <c r="G9" t="e">
        <f>'calculus Q'!K73</f>
        <v>#DIV/0!</v>
      </c>
      <c r="H9" s="40" t="s">
        <v>107</v>
      </c>
      <c r="I9" s="86">
        <v>31</v>
      </c>
      <c r="J9" s="86">
        <f>'calculus Q'!C87</f>
        <v>23</v>
      </c>
      <c r="K9" s="86" t="e">
        <f>'calculus Q'!E87</f>
        <v>#DIV/0!</v>
      </c>
      <c r="L9" s="86">
        <f>'calculus Q'!E61</f>
        <v>0</v>
      </c>
      <c r="M9" s="86" t="e">
        <f t="shared" si="0"/>
        <v>#DIV/0!</v>
      </c>
      <c r="N9" s="87">
        <f>21</f>
        <v>21</v>
      </c>
      <c r="O9" s="88" t="e">
        <f>IF(SIGN(P9)=SIGN(P8),0,MAX($O$2:O8)+1)</f>
        <v>#DIV/0!</v>
      </c>
      <c r="P9" s="89" t="e">
        <f t="shared" si="1"/>
        <v>#DIV/0!</v>
      </c>
      <c r="Q9" s="90">
        <v>40405</v>
      </c>
      <c r="R9" s="90" t="e">
        <f t="shared" ca="1" si="2"/>
        <v>#N/A</v>
      </c>
      <c r="S9" s="90" t="e">
        <f t="shared" ca="1" si="3"/>
        <v>#N/A</v>
      </c>
      <c r="T9" s="88" t="e">
        <f t="shared" ca="1" si="4"/>
        <v>#N/A</v>
      </c>
      <c r="U9" s="91" t="e">
        <f ca="1">(K9-L9*'calculus Q'!H115)*T9/I9</f>
        <v>#DIV/0!</v>
      </c>
    </row>
    <row r="10" spans="1:21" ht="15.75">
      <c r="A10" s="12" t="s">
        <v>197</v>
      </c>
      <c r="B10" s="12"/>
      <c r="C10" s="12"/>
      <c r="D10" s="12"/>
      <c r="E10" s="12"/>
      <c r="F10" s="12"/>
      <c r="H10" s="40" t="s">
        <v>108</v>
      </c>
      <c r="I10" s="86">
        <v>30</v>
      </c>
      <c r="J10" s="86">
        <f>'calculus Q'!C88</f>
        <v>20</v>
      </c>
      <c r="K10" s="86" t="e">
        <f>'calculus Q'!E88</f>
        <v>#DIV/0!</v>
      </c>
      <c r="L10" s="86">
        <f>'calculus Q'!E62</f>
        <v>0</v>
      </c>
      <c r="M10" s="86" t="e">
        <f t="shared" si="0"/>
        <v>#DIV/0!</v>
      </c>
      <c r="N10" s="87">
        <f>21</f>
        <v>21</v>
      </c>
      <c r="O10" s="88" t="e">
        <f>IF(SIGN(P10)=SIGN(P9),0,MAX($O$2:O9)+1)</f>
        <v>#DIV/0!</v>
      </c>
      <c r="P10" s="89" t="e">
        <f t="shared" si="1"/>
        <v>#DIV/0!</v>
      </c>
      <c r="Q10" s="90">
        <v>40436</v>
      </c>
      <c r="R10" s="90" t="e">
        <f t="shared" ca="1" si="2"/>
        <v>#N/A</v>
      </c>
      <c r="S10" s="90" t="e">
        <f t="shared" ca="1" si="3"/>
        <v>#N/A</v>
      </c>
      <c r="T10" s="88" t="e">
        <f t="shared" ca="1" si="4"/>
        <v>#N/A</v>
      </c>
      <c r="U10" s="91" t="e">
        <f ca="1">(K10-L10*'calculus Q'!H116)*T10/I10</f>
        <v>#DIV/0!</v>
      </c>
    </row>
    <row r="11" spans="1:21" ht="15.75">
      <c r="A11" s="12"/>
      <c r="B11" s="12"/>
      <c r="C11" s="12"/>
      <c r="D11" s="12"/>
      <c r="E11" s="12"/>
      <c r="F11" s="12"/>
      <c r="H11" s="40" t="s">
        <v>109</v>
      </c>
      <c r="I11" s="86">
        <v>31</v>
      </c>
      <c r="J11" s="86">
        <f>'calculus Q'!C89</f>
        <v>19</v>
      </c>
      <c r="K11" s="86" t="e">
        <f>'calculus Q'!E89</f>
        <v>#DIV/0!</v>
      </c>
      <c r="L11" s="86">
        <f>'calculus Q'!E63</f>
        <v>0</v>
      </c>
      <c r="M11" s="86" t="e">
        <f t="shared" si="0"/>
        <v>#DIV/0!</v>
      </c>
      <c r="N11" s="87">
        <f>21</f>
        <v>21</v>
      </c>
      <c r="O11" s="88" t="e">
        <f>IF(SIGN(P11)=SIGN(P10),0,MAX($O$2:O10)+1)</f>
        <v>#DIV/0!</v>
      </c>
      <c r="P11" s="89" t="e">
        <f t="shared" si="1"/>
        <v>#DIV/0!</v>
      </c>
      <c r="Q11" s="90">
        <v>40466</v>
      </c>
      <c r="R11" s="90" t="e">
        <f t="shared" ca="1" si="2"/>
        <v>#N/A</v>
      </c>
      <c r="S11" s="90" t="e">
        <f t="shared" ca="1" si="3"/>
        <v>#N/A</v>
      </c>
      <c r="T11" s="88" t="e">
        <f t="shared" ca="1" si="4"/>
        <v>#N/A</v>
      </c>
      <c r="U11" s="91" t="e">
        <f ca="1">(K11-L11*'calculus Q'!H117)*T11/I11</f>
        <v>#DIV/0!</v>
      </c>
    </row>
    <row r="12" spans="1:21" ht="15.75">
      <c r="A12" s="79"/>
      <c r="B12" s="79"/>
      <c r="C12" s="79"/>
      <c r="D12" s="79"/>
      <c r="E12" s="79"/>
      <c r="F12" s="79"/>
      <c r="H12" s="40" t="s">
        <v>110</v>
      </c>
      <c r="I12" s="86">
        <v>30</v>
      </c>
      <c r="J12" s="86">
        <f>'calculus Q'!C90</f>
        <v>13</v>
      </c>
      <c r="K12" s="86" t="e">
        <f>'calculus Q'!E90</f>
        <v>#DIV/0!</v>
      </c>
      <c r="L12" s="86">
        <f>'calculus Q'!E64</f>
        <v>0</v>
      </c>
      <c r="M12" s="86" t="e">
        <f t="shared" si="0"/>
        <v>#DIV/0!</v>
      </c>
      <c r="N12" s="87">
        <f>21</f>
        <v>21</v>
      </c>
      <c r="O12" s="88" t="e">
        <f>IF(SIGN(P12)=SIGN(P11),0,MAX($O$2:O11)+1)</f>
        <v>#DIV/0!</v>
      </c>
      <c r="P12" s="89" t="e">
        <f t="shared" si="1"/>
        <v>#DIV/0!</v>
      </c>
      <c r="Q12" s="90">
        <v>40497</v>
      </c>
      <c r="R12" s="90" t="e">
        <f t="shared" ca="1" si="2"/>
        <v>#N/A</v>
      </c>
      <c r="S12" s="90" t="e">
        <f t="shared" ca="1" si="3"/>
        <v>#N/A</v>
      </c>
      <c r="T12" s="88" t="e">
        <f t="shared" ca="1" si="4"/>
        <v>#N/A</v>
      </c>
      <c r="U12" s="91" t="e">
        <f ca="1">(K12-L12*'calculus Q'!H118)*T12/I12</f>
        <v>#DIV/0!</v>
      </c>
    </row>
    <row r="13" spans="1:21" ht="16.5" thickBot="1">
      <c r="E13" s="80"/>
      <c r="F13" s="80"/>
      <c r="H13" s="41" t="s">
        <v>111</v>
      </c>
      <c r="I13" s="92">
        <v>31</v>
      </c>
      <c r="J13" s="92">
        <f>'calculus Q'!C91</f>
        <v>11</v>
      </c>
      <c r="K13" s="92" t="e">
        <f>'calculus Q'!E91</f>
        <v>#DIV/0!</v>
      </c>
      <c r="L13" s="92">
        <f>'calculus Q'!E65</f>
        <v>0</v>
      </c>
      <c r="M13" s="92" t="e">
        <f t="shared" si="0"/>
        <v>#DIV/0!</v>
      </c>
      <c r="N13" s="93">
        <f>21</f>
        <v>21</v>
      </c>
      <c r="O13" s="94" t="e">
        <f>IF(SIGN(P13)=SIGN(P12),0,MAX($O$2:O12)+1)</f>
        <v>#DIV/0!</v>
      </c>
      <c r="P13" s="95" t="e">
        <f t="shared" si="1"/>
        <v>#DIV/0!</v>
      </c>
      <c r="Q13" s="96">
        <v>40527</v>
      </c>
      <c r="R13" s="90" t="e">
        <f t="shared" ca="1" si="2"/>
        <v>#N/A</v>
      </c>
      <c r="S13" s="90" t="e">
        <f t="shared" ca="1" si="3"/>
        <v>#N/A</v>
      </c>
      <c r="T13" s="88" t="e">
        <f t="shared" ca="1" si="4"/>
        <v>#N/A</v>
      </c>
      <c r="U13" s="91" t="e">
        <f ca="1">(K13-L13*'calculus Q'!H119)*T13/I13</f>
        <v>#DIV/0!</v>
      </c>
    </row>
    <row r="14" spans="1:21">
      <c r="E14" s="80"/>
      <c r="F14" s="80"/>
    </row>
    <row r="15" spans="1:21" ht="15.75" thickBot="1">
      <c r="E15" s="80"/>
      <c r="F15" s="57" t="s">
        <v>206</v>
      </c>
      <c r="G15" s="58" t="e">
        <f>VLOOKUP(1,O2:P13,2,FALSE)</f>
        <v>#N/A</v>
      </c>
      <c r="H15" s="59" t="e">
        <f>VLOOKUP(G15,P2:Q13,2,FALSE)</f>
        <v>#N/A</v>
      </c>
      <c r="I15" s="60" t="e">
        <f ca="1">INDIRECT("M"&amp;MONTH(H15)+1)</f>
        <v>#N/A</v>
      </c>
    </row>
    <row r="16" spans="1:21" ht="57.75" customHeight="1">
      <c r="E16" s="80"/>
      <c r="F16" s="61"/>
      <c r="G16" s="62"/>
      <c r="H16" s="63" t="e">
        <f ca="1">INDIRECT("Q"&amp;MONTH(H15))</f>
        <v>#N/A</v>
      </c>
      <c r="I16" s="64" t="e">
        <f ca="1">INDIRECT("M"&amp;MONTH(H15))</f>
        <v>#N/A</v>
      </c>
      <c r="M16" s="112" t="s">
        <v>199</v>
      </c>
      <c r="N16" s="113" t="s">
        <v>213</v>
      </c>
      <c r="O16" s="114"/>
      <c r="P16" s="114" t="s">
        <v>202</v>
      </c>
      <c r="Q16" s="114" t="s">
        <v>134</v>
      </c>
      <c r="R16" s="120" t="s">
        <v>214</v>
      </c>
      <c r="S16" s="120"/>
      <c r="T16" s="115" t="s">
        <v>215</v>
      </c>
      <c r="U16" s="116" t="s">
        <v>216</v>
      </c>
    </row>
    <row r="17" spans="1:21" ht="15" customHeight="1">
      <c r="E17" s="80"/>
      <c r="F17" s="65"/>
      <c r="G17" s="62" t="s">
        <v>207</v>
      </c>
      <c r="H17" s="66" t="e">
        <f ca="1">H15-H16</f>
        <v>#N/A</v>
      </c>
      <c r="I17" s="64"/>
      <c r="M17" s="105" t="e">
        <f>M2</f>
        <v>#DIV/0!</v>
      </c>
      <c r="N17" s="100">
        <v>26</v>
      </c>
      <c r="O17" s="101" t="e">
        <f>IF(P17&lt;0,1,0)</f>
        <v>#DIV/0!</v>
      </c>
      <c r="P17" s="100" t="e">
        <f t="shared" ref="P17:P28" si="5">N17-M17</f>
        <v>#DIV/0!</v>
      </c>
      <c r="Q17" s="104">
        <v>40193</v>
      </c>
      <c r="R17" s="102"/>
      <c r="S17" s="102"/>
      <c r="T17" s="103"/>
      <c r="U17" s="106" t="e">
        <f>(L2-K2*'Warming and cooling'!H108)*T17*'Warming and cooling'!I2</f>
        <v>#DIV/0!</v>
      </c>
    </row>
    <row r="18" spans="1:21" ht="15.75" thickBot="1">
      <c r="E18" s="80"/>
      <c r="F18" s="65"/>
      <c r="G18" s="62" t="s">
        <v>208</v>
      </c>
      <c r="H18" s="67" t="e">
        <f ca="1">ROUNDUP((21-I16)/((I15-I16)/H17),0)</f>
        <v>#N/A</v>
      </c>
      <c r="I18" s="64" t="s">
        <v>137</v>
      </c>
      <c r="M18" s="105" t="e">
        <f t="shared" ref="M18:M28" si="6">M3</f>
        <v>#DIV/0!</v>
      </c>
      <c r="N18" s="100">
        <f t="shared" ref="N18:N28" si="7">N17</f>
        <v>26</v>
      </c>
      <c r="O18" s="101" t="e">
        <f>IF(SIGN(P18)=SIGN(P17),0,MAX($K$17:K116)+1)</f>
        <v>#DIV/0!</v>
      </c>
      <c r="P18" s="100" t="e">
        <f t="shared" si="5"/>
        <v>#DIV/0!</v>
      </c>
      <c r="Q18" s="104">
        <v>40224</v>
      </c>
      <c r="R18" s="102"/>
      <c r="S18" s="102"/>
      <c r="T18" s="101"/>
      <c r="U18" s="106" t="e">
        <f>(L3-K3*'Warming and cooling'!H109)*T18*'Warming and cooling'!I3</f>
        <v>#DIV/0!</v>
      </c>
    </row>
    <row r="19" spans="1:21" ht="15.75" thickBot="1">
      <c r="E19" s="80"/>
      <c r="F19" s="65"/>
      <c r="G19" s="68" t="s">
        <v>209</v>
      </c>
      <c r="H19" s="69" t="e">
        <f ca="1">H16+H18</f>
        <v>#N/A</v>
      </c>
      <c r="I19" s="64"/>
      <c r="M19" s="105" t="e">
        <f t="shared" si="6"/>
        <v>#DIV/0!</v>
      </c>
      <c r="N19" s="100">
        <f t="shared" si="7"/>
        <v>26</v>
      </c>
      <c r="O19" s="101" t="e">
        <f>IF(SIGN(P19)=SIGN(P18),0,MAX($K$17:K117)+1)</f>
        <v>#DIV/0!</v>
      </c>
      <c r="P19" s="100" t="e">
        <f t="shared" si="5"/>
        <v>#DIV/0!</v>
      </c>
      <c r="Q19" s="104">
        <v>40252</v>
      </c>
      <c r="R19" s="102"/>
      <c r="S19" s="102"/>
      <c r="T19" s="101"/>
      <c r="U19" s="106" t="e">
        <f>(L4-K4*'Warming and cooling'!H110)*T19*'Warming and cooling'!I4</f>
        <v>#DIV/0!</v>
      </c>
    </row>
    <row r="20" spans="1:21">
      <c r="E20" s="80"/>
      <c r="F20" s="65"/>
      <c r="G20" s="62"/>
      <c r="H20" s="63" t="e">
        <f ca="1">H19+365</f>
        <v>#N/A</v>
      </c>
      <c r="I20" s="64"/>
      <c r="M20" s="105" t="e">
        <f t="shared" si="6"/>
        <v>#DIV/0!</v>
      </c>
      <c r="N20" s="100">
        <f t="shared" si="7"/>
        <v>26</v>
      </c>
      <c r="O20" s="101" t="e">
        <f>IF(SIGN(P20)=SIGN(P19),0,MAX($K$17:K118)+1)</f>
        <v>#DIV/0!</v>
      </c>
      <c r="P20" s="100" t="e">
        <f t="shared" si="5"/>
        <v>#DIV/0!</v>
      </c>
      <c r="Q20" s="104">
        <v>40283</v>
      </c>
      <c r="R20" s="102"/>
      <c r="S20" s="102"/>
      <c r="T20" s="101"/>
      <c r="U20" s="106" t="e">
        <f>(L5-K5*'Warming and cooling'!H111)*T20*'Warming and cooling'!I5</f>
        <v>#DIV/0!</v>
      </c>
    </row>
    <row r="21" spans="1:21">
      <c r="E21" s="80"/>
      <c r="F21" s="65" t="s">
        <v>210</v>
      </c>
      <c r="G21" s="70" t="e">
        <f>VLOOKUP(2,O2:P13,2,FALSE)</f>
        <v>#N/A</v>
      </c>
      <c r="H21" s="71" t="e">
        <f>VLOOKUP(G21,P2:Q13,2,FALSE)</f>
        <v>#N/A</v>
      </c>
      <c r="I21" s="64" t="e">
        <f ca="1">INDIRECT("M"&amp;MONTH(H21)+1)</f>
        <v>#N/A</v>
      </c>
      <c r="M21" s="105" t="e">
        <f t="shared" si="6"/>
        <v>#DIV/0!</v>
      </c>
      <c r="N21" s="100">
        <f t="shared" si="7"/>
        <v>26</v>
      </c>
      <c r="O21" s="101" t="e">
        <f>IF(SIGN(P21)=SIGN(P20),0,MAX($K$17:K119)+1)</f>
        <v>#DIV/0!</v>
      </c>
      <c r="P21" s="100" t="e">
        <f t="shared" si="5"/>
        <v>#DIV/0!</v>
      </c>
      <c r="Q21" s="104">
        <v>40313</v>
      </c>
      <c r="R21" s="102"/>
      <c r="S21" s="102"/>
      <c r="T21" s="101"/>
      <c r="U21" s="106" t="e">
        <f>(L6-K6*'Warming and cooling'!H112)*T21*'Warming and cooling'!I6</f>
        <v>#DIV/0!</v>
      </c>
    </row>
    <row r="22" spans="1:21">
      <c r="E22" s="80"/>
      <c r="F22" s="65"/>
      <c r="G22" s="62"/>
      <c r="H22" s="63" t="e">
        <f ca="1">INDIRECT("Q"&amp;MONTH(H21))</f>
        <v>#N/A</v>
      </c>
      <c r="I22" s="64" t="e">
        <f ca="1">INDIRECT("M"&amp;MONTH(H21))</f>
        <v>#N/A</v>
      </c>
      <c r="M22" s="105" t="e">
        <f t="shared" si="6"/>
        <v>#DIV/0!</v>
      </c>
      <c r="N22" s="100">
        <f t="shared" si="7"/>
        <v>26</v>
      </c>
      <c r="O22" s="101" t="e">
        <f>IF(SIGN(P22)=SIGN(P21),0,MAX($K$17:K120)+1)</f>
        <v>#DIV/0!</v>
      </c>
      <c r="P22" s="100" t="e">
        <f t="shared" si="5"/>
        <v>#DIV/0!</v>
      </c>
      <c r="Q22" s="104">
        <v>40344</v>
      </c>
      <c r="R22" s="102"/>
      <c r="S22" s="102"/>
      <c r="T22" s="101"/>
      <c r="U22" s="106" t="e">
        <f>(L7-K7*'Warming and cooling'!H113)*T22*'Warming and cooling'!I7</f>
        <v>#DIV/0!</v>
      </c>
    </row>
    <row r="23" spans="1:21">
      <c r="E23" s="80"/>
      <c r="F23" s="65"/>
      <c r="G23" s="62" t="s">
        <v>207</v>
      </c>
      <c r="H23" s="66" t="e">
        <f ca="1">H21-H22</f>
        <v>#N/A</v>
      </c>
      <c r="I23" s="64"/>
      <c r="M23" s="105" t="e">
        <f t="shared" si="6"/>
        <v>#DIV/0!</v>
      </c>
      <c r="N23" s="100">
        <f t="shared" si="7"/>
        <v>26</v>
      </c>
      <c r="O23" s="101" t="e">
        <f>IF(SIGN(P23)=SIGN(P22),0,MAX($K$17:K121)+1)</f>
        <v>#DIV/0!</v>
      </c>
      <c r="P23" s="100" t="e">
        <f t="shared" si="5"/>
        <v>#DIV/0!</v>
      </c>
      <c r="Q23" s="104">
        <v>40374</v>
      </c>
      <c r="R23" s="102"/>
      <c r="S23" s="102"/>
      <c r="T23" s="101"/>
      <c r="U23" s="106" t="e">
        <f>(L8-K8*'Warming and cooling'!H114)*T23*'Warming and cooling'!I8</f>
        <v>#DIV/0!</v>
      </c>
    </row>
    <row r="24" spans="1:21" ht="15.75" thickBot="1">
      <c r="E24" s="80"/>
      <c r="F24" s="65"/>
      <c r="G24" s="62" t="s">
        <v>211</v>
      </c>
      <c r="H24" s="67" t="e">
        <f ca="1">ROUNDUP((21-I22)/((I21-I22)/H23),0)</f>
        <v>#N/A</v>
      </c>
      <c r="I24" s="64" t="s">
        <v>137</v>
      </c>
      <c r="M24" s="105" t="e">
        <f t="shared" si="6"/>
        <v>#DIV/0!</v>
      </c>
      <c r="N24" s="100">
        <f t="shared" si="7"/>
        <v>26</v>
      </c>
      <c r="O24" s="101" t="e">
        <f>IF(SIGN(P24)=SIGN(P23),0,MAX($K$17:K122)+1)</f>
        <v>#DIV/0!</v>
      </c>
      <c r="P24" s="100" t="e">
        <f t="shared" si="5"/>
        <v>#DIV/0!</v>
      </c>
      <c r="Q24" s="104">
        <v>40405</v>
      </c>
      <c r="R24" s="102"/>
      <c r="S24" s="102"/>
      <c r="T24" s="101"/>
      <c r="U24" s="106" t="e">
        <f>(L9-K9*'Warming and cooling'!H115)*T24*'Warming and cooling'!I9</f>
        <v>#DIV/0!</v>
      </c>
    </row>
    <row r="25" spans="1:21" ht="15.75" thickBot="1">
      <c r="A25" s="12"/>
      <c r="B25" s="12"/>
      <c r="C25" s="12"/>
      <c r="D25" s="12"/>
      <c r="E25" s="12"/>
      <c r="F25" s="65"/>
      <c r="G25" s="68" t="s">
        <v>212</v>
      </c>
      <c r="H25" s="69" t="e">
        <f ca="1">H22+H24</f>
        <v>#N/A</v>
      </c>
      <c r="I25" s="64"/>
      <c r="M25" s="105" t="e">
        <f t="shared" si="6"/>
        <v>#DIV/0!</v>
      </c>
      <c r="N25" s="100">
        <f t="shared" si="7"/>
        <v>26</v>
      </c>
      <c r="O25" s="101" t="e">
        <f>IF(SIGN(P25)=SIGN(P24),0,MAX($K$17:K123)+1)</f>
        <v>#DIV/0!</v>
      </c>
      <c r="P25" s="100" t="e">
        <f t="shared" si="5"/>
        <v>#DIV/0!</v>
      </c>
      <c r="Q25" s="104">
        <v>40436</v>
      </c>
      <c r="R25" s="102"/>
      <c r="S25" s="102"/>
      <c r="T25" s="101"/>
      <c r="U25" s="106" t="e">
        <f>(L10-K10*'Warming and cooling'!H116)*T25*'Warming and cooling'!I10</f>
        <v>#DIV/0!</v>
      </c>
    </row>
    <row r="26" spans="1:21">
      <c r="F26" s="72"/>
      <c r="G26" s="73"/>
      <c r="H26" s="74" t="e">
        <f ca="1">H25-365</f>
        <v>#N/A</v>
      </c>
      <c r="I26" s="75"/>
      <c r="M26" s="105" t="e">
        <f t="shared" si="6"/>
        <v>#DIV/0!</v>
      </c>
      <c r="N26" s="100">
        <f t="shared" si="7"/>
        <v>26</v>
      </c>
      <c r="O26" s="101" t="e">
        <f>IF(SIGN(P26)=SIGN(P25),0,MAX($K$17:K124)+1)</f>
        <v>#DIV/0!</v>
      </c>
      <c r="P26" s="100" t="e">
        <f t="shared" si="5"/>
        <v>#DIV/0!</v>
      </c>
      <c r="Q26" s="104">
        <v>40466</v>
      </c>
      <c r="R26" s="102"/>
      <c r="S26" s="102"/>
      <c r="T26" s="101"/>
      <c r="U26" s="106" t="e">
        <f>(L11-K11*'Warming and cooling'!H117)*T26*'Warming and cooling'!I11</f>
        <v>#DIV/0!</v>
      </c>
    </row>
    <row r="27" spans="1:21">
      <c r="M27" s="105" t="e">
        <f t="shared" si="6"/>
        <v>#DIV/0!</v>
      </c>
      <c r="N27" s="100">
        <f t="shared" si="7"/>
        <v>26</v>
      </c>
      <c r="O27" s="101" t="e">
        <f>IF(SIGN(P27)=SIGN(P26),0,MAX($K$17:K125)+1)</f>
        <v>#DIV/0!</v>
      </c>
      <c r="P27" s="100" t="e">
        <f t="shared" si="5"/>
        <v>#DIV/0!</v>
      </c>
      <c r="Q27" s="104">
        <v>40497</v>
      </c>
      <c r="R27" s="102"/>
      <c r="S27" s="102"/>
      <c r="T27" s="101"/>
      <c r="U27" s="106" t="e">
        <f>(L12-K12*'Warming and cooling'!H118)*T27*'Warming and cooling'!I12</f>
        <v>#DIV/0!</v>
      </c>
    </row>
    <row r="28" spans="1:21" ht="15.75" thickBot="1">
      <c r="M28" s="107" t="e">
        <f t="shared" si="6"/>
        <v>#DIV/0!</v>
      </c>
      <c r="N28" s="108">
        <f t="shared" si="7"/>
        <v>26</v>
      </c>
      <c r="O28" s="109" t="e">
        <f>IF(SIGN(P28)=SIGN(P27),0,MAX($K$17:K126)+1)</f>
        <v>#DIV/0!</v>
      </c>
      <c r="P28" s="108" t="e">
        <f t="shared" si="5"/>
        <v>#DIV/0!</v>
      </c>
      <c r="Q28" s="110">
        <v>40527</v>
      </c>
      <c r="R28" s="111"/>
      <c r="S28" s="111"/>
      <c r="T28" s="109"/>
      <c r="U28" s="106" t="e">
        <f>(L13-K13*'Warming and cooling'!H119)*T28*'Warming and cooling'!I13</f>
        <v>#DIV/0!</v>
      </c>
    </row>
  </sheetData>
  <mergeCells count="2">
    <mergeCell ref="R1:S1"/>
    <mergeCell ref="R16:S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Calculus Ubat</vt:lpstr>
      <vt:lpstr>calculus Urt2005</vt:lpstr>
      <vt:lpstr>calculus Q</vt:lpstr>
      <vt:lpstr>Warming and cooling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2010-04-08T14:00:46Z</dcterms:created>
  <dcterms:modified xsi:type="dcterms:W3CDTF">2010-07-22T11:06:33Z</dcterms:modified>
</cp:coreProperties>
</file>